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A" sheetId="1" r:id="rId1"/>
    <sheet name="VAR2" sheetId="2" r:id="rId2"/>
    <sheet name="VAR3" sheetId="3" r:id="rId3"/>
  </sheets>
  <externalReferences>
    <externalReference r:id="rId6"/>
  </externalReferences>
  <definedNames>
    <definedName name="\0">'A'!$C$227</definedName>
    <definedName name="\A">'A'!$C$210</definedName>
    <definedName name="\H">'A'!$C$227</definedName>
    <definedName name="\P">'A'!$C$204</definedName>
    <definedName name="\Z">'A'!$C$220</definedName>
    <definedName name="__123Graph_ADIAG" hidden="1">'A'!$CD$9:$CD$17</definedName>
    <definedName name="__123Graph_AGRAPH1" hidden="1">'A'!$CD$9:$CD$17</definedName>
    <definedName name="__123Graph_AGRAPH2" hidden="1">'A'!$CH$27:$CH$35</definedName>
    <definedName name="__123Graph_AINDEPCHECK" hidden="1">'A'!$DL$9:$DL$53</definedName>
    <definedName name="__123Graph_ARESIDUALS" hidden="1">'A'!$CH$27:$CH$35</definedName>
    <definedName name="__123Graph_AVAR1" hidden="1">'A'!$HD$11:$HD$19</definedName>
    <definedName name="__123Graph_AVAR2" hidden="1">'A'!$HD$29:$HD$37</definedName>
    <definedName name="__123Graph_AVAR3" hidden="1">'A'!$HD$47:$HD$55</definedName>
    <definedName name="__123Graph_LBL_ADIAG" hidden="1">'A'!$BY$13:$BY$21</definedName>
    <definedName name="__123Graph_LBL_AGRAPH1" hidden="1">'A'!$BY$13:$BY$21</definedName>
    <definedName name="__123Graph_LBL_AGRAPH2" hidden="1">'A'!$BX$13:$BX$21</definedName>
    <definedName name="__123Graph_LBL_AINDEPCHECK" hidden="1">'A'!$DB$9:$DB$53</definedName>
    <definedName name="__123Graph_LBL_ARESIDUALS" hidden="1">'A'!$BX$13:$BX$21</definedName>
    <definedName name="__123Graph_LBL_AVAR1" hidden="1">'A'!$GY$11:$GY$19</definedName>
    <definedName name="__123Graph_LBL_AVAR2" hidden="1">'A'!$GY$11:$GY$19</definedName>
    <definedName name="__123Graph_LBL_AVAR3" hidden="1">'A'!$GY$11:$GY$19</definedName>
    <definedName name="__123Graph_XDIAG" hidden="1">'A'!$CB$9:$CB$17</definedName>
    <definedName name="__123Graph_XGRAPH1" hidden="1">'A'!$CB$9:$CB$17</definedName>
    <definedName name="__123Graph_XGRAPH2" hidden="1">'A'!$CB$9:$CB$17</definedName>
    <definedName name="__123Graph_XINDEPCHECK" hidden="1">'A'!$DD$9:$DD$53</definedName>
    <definedName name="__123Graph_XRESIDUALS" hidden="1">'A'!$CB$9:$CB$17</definedName>
    <definedName name="__123Graph_XVAR1" hidden="1">'A'!$HB$11:$HB$19</definedName>
    <definedName name="__123Graph_XVAR2" hidden="1">'A'!$HB$29:$HB$37</definedName>
    <definedName name="__123Graph_XVAR3" hidden="1">'A'!$HB$47:$HB$55</definedName>
    <definedName name="_Fill" hidden="1">'A'!$CZ$14:$CZ$58</definedName>
    <definedName name="_Key1" hidden="1">'A'!$EA$88</definedName>
    <definedName name="_Order1" hidden="1">0</definedName>
    <definedName name="_Sort" hidden="1">'A'!$EA$88:$EA$96</definedName>
    <definedName name="CLASS">'A'!$AB$2</definedName>
    <definedName name="COPY_TO">'A'!$EA$88</definedName>
    <definedName name="COPYFROM">'A'!$EY$9</definedName>
    <definedName name="COUNTER">'A'!$C$218</definedName>
    <definedName name="CRM1">'A'!$BZ$3:$CK$55</definedName>
    <definedName name="CRM2">'A'!$CZ$73:$DM$103</definedName>
    <definedName name="CRM3">'A'!$DZ$3:$EU$53</definedName>
    <definedName name="CRM4">'A'!$GZ$3:$HK$58</definedName>
    <definedName name="CUM_PAID">'A'!$Z$19:$BN$29</definedName>
    <definedName name="DATTABLE">'A'!$A$9:$K$18</definedName>
    <definedName name="ERASE_ALL">'A'!$EG$9:$EG$53</definedName>
    <definedName name="ERASE_BIT">'A'!$EA$88:$EA$96</definedName>
    <definedName name="F_1_">'A'!$EF$9:$EF$17</definedName>
    <definedName name="F_10_">'A'!$EF$53</definedName>
    <definedName name="F_2_">'A'!$EF$18:$EF$25</definedName>
    <definedName name="F_3_">'A'!$EF$26:$EF$32</definedName>
    <definedName name="F_4_">'A'!$EF$33:$EF$38</definedName>
    <definedName name="F_5_">'A'!$EF$39:$EF$43</definedName>
    <definedName name="F_6_">'A'!$EF$44:$EF$47</definedName>
    <definedName name="F_7_">'A'!$EF$48:$EF$50</definedName>
    <definedName name="F_8_">'A'!$EF$51:$EF$52</definedName>
    <definedName name="F_9_">'A'!$EF$53</definedName>
    <definedName name="FACTABLE">'A'!$FZ$9:$GA$19</definedName>
    <definedName name="FILENAME">'A'!$D$216</definedName>
    <definedName name="FKTABLE">'A'!$A$22:$J$22</definedName>
    <definedName name="LOOP1">'A'!$C$212</definedName>
    <definedName name="LOOP2">'A'!$C$222</definedName>
    <definedName name="MEDIAN">'A'!$EA$84</definedName>
    <definedName name="O_1_">'A'!$EG$9:$EG$17</definedName>
    <definedName name="O_2_">'A'!$EG$18:$EG$25</definedName>
    <definedName name="O_3_">'A'!$EG$26:$EG$32</definedName>
    <definedName name="O_4_">'A'!$EG$33:$EG$38</definedName>
    <definedName name="O_5_">'A'!$EG$39:$EG$43</definedName>
    <definedName name="O_6_">'A'!$EG$44:$EG$47</definedName>
    <definedName name="O_7_">'A'!$EG$48:$EG$50</definedName>
    <definedName name="O_8_">'A'!$EG$51:$EG$52</definedName>
    <definedName name="O_9_">'A'!$EG$53</definedName>
    <definedName name="PAGE0">'A'!$A$1:$O$25</definedName>
    <definedName name="PAGE1">'A'!$A$27:$N$55</definedName>
    <definedName name="PAGE2">'A'!$A$58:$N$87</definedName>
    <definedName name="PAGE3">'A'!$A$90:$N$112</definedName>
    <definedName name="PAGEEG">'A'!$CA$1:$CK$55</definedName>
    <definedName name="PAGEEG2">'A'!$DA$1:$DM$73</definedName>
    <definedName name="PAGEEG3">'A'!$EA$1:$EU$54</definedName>
    <definedName name="PAGEEG4">'A'!$HA$1:$HK$58</definedName>
    <definedName name="_xlnm.Print_Area" localSheetId="0">'A'!$HA$1:$HK$58</definedName>
    <definedName name="RAW_DATA">'A'!$AA$5:$BV$16</definedName>
    <definedName name="RVFROM">'A'!$F$223</definedName>
    <definedName name="RVFROM2">'A'!$F$225</definedName>
    <definedName name="RVTO">'A'!$C$223</definedName>
    <definedName name="RVTO2">'A'!$C$225</definedName>
    <definedName name="SKTABLE">'A'!$A$47:$J$47</definedName>
    <definedName name="START_SCREEN">'A'!$A$255</definedName>
    <definedName name="TEST">'A'!$FE$5</definedName>
    <definedName name="TEST1">'A'!$FE$5</definedName>
    <definedName name="TEST2">'A'!$FP$5</definedName>
  </definedNames>
  <calcPr fullCalcOnLoad="1"/>
</workbook>
</file>

<file path=xl/sharedStrings.xml><?xml version="1.0" encoding="utf-8"?>
<sst xmlns="http://schemas.openxmlformats.org/spreadsheetml/2006/main" count="443" uniqueCount="203">
  <si>
    <t>IoA and FoA Claims Reserving Manual</t>
  </si>
  <si>
    <t>Diagnostic checks of the assumptions of the distribution-free approach</t>
  </si>
  <si>
    <t>Thomas Mack's Distribution-free Chain-ladder</t>
  </si>
  <si>
    <t>Checking Assumption 1:</t>
  </si>
  <si>
    <t>E(C(i,k+1|C(i,1),....C(i,k))) = C(i,k) x f(k)</t>
  </si>
  <si>
    <t>Checking Assumption 2:</t>
  </si>
  <si>
    <t>{C(i,1)...C(i,I)},{C(j,1,...,C(j,I)}, are independent</t>
  </si>
  <si>
    <t>Checking Assumption 3:</t>
  </si>
  <si>
    <t>Var(C(i,k+1|C(i,1),....C(i,k))) = C(i,k) x s(k)^2</t>
  </si>
  <si>
    <t>Cumulative Claims ( C(i,k) ) Triangle</t>
  </si>
  <si>
    <t>Plot: C(i,k) v. ( C(i,k+1) - C(i,k) )</t>
  </si>
  <si>
    <t>Plot:  ( C(i,k+1) - C(i,k) x f(k) ) / C(i,k)^.5 / s(k) v. (i+k)</t>
  </si>
  <si>
    <t>Statistical Test Of Independence</t>
  </si>
  <si>
    <t>S</t>
  </si>
  <si>
    <t>L</t>
  </si>
  <si>
    <t>Plot: R(0,i,k+1) = ( C(i,k+1) - C(i,k) x f(k,0) ) v. C(i,k)</t>
  </si>
  <si>
    <t>Index</t>
  </si>
  <si>
    <t>(n,m) table</t>
  </si>
  <si>
    <t>Accident</t>
  </si>
  <si>
    <t>Development Year (k)</t>
  </si>
  <si>
    <t>k=1</t>
  </si>
  <si>
    <t>i</t>
  </si>
  <si>
    <t>k</t>
  </si>
  <si>
    <t>i+k</t>
  </si>
  <si>
    <t>f(k)</t>
  </si>
  <si>
    <t>s(k)</t>
  </si>
  <si>
    <t>C(i,k)</t>
  </si>
  <si>
    <t>C(i,k+1)</t>
  </si>
  <si>
    <t>C(i,k)*f(k)</t>
  </si>
  <si>
    <t>(7)-(8)</t>
  </si>
  <si>
    <t>C(i,k)^.5</t>
  </si>
  <si>
    <t>(9)/(10)/(5)</t>
  </si>
  <si>
    <t>column</t>
  </si>
  <si>
    <t>C(i,k+1)/C(i,k)</t>
  </si>
  <si>
    <t>S/L/M</t>
  </si>
  <si>
    <t>Number of Small's</t>
  </si>
  <si>
    <t>Number of Large's</t>
  </si>
  <si>
    <t>m</t>
  </si>
  <si>
    <t>f(1,0)=</t>
  </si>
  <si>
    <t>Year (i)</t>
  </si>
  <si>
    <t>R(i)</t>
  </si>
  <si>
    <t>SE(R(i))</t>
  </si>
  <si>
    <t>SE/R</t>
  </si>
  <si>
    <t>C(i,1)</t>
  </si>
  <si>
    <t>C(i,2)</t>
  </si>
  <si>
    <t>(Ci,2)-C(i,1)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</si>
  <si>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</si>
  <si>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</si>
  <si>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</si>
  <si>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</si>
  <si>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</si>
  <si>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</si>
  <si>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</si>
  <si>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</si>
  <si>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</si>
  <si>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</si>
  <si>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</si>
  <si>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n</t>
  </si>
  <si>
    <t>-</t>
  </si>
  <si>
    <t>R(0,i,k+1)</t>
  </si>
  <si>
    <t>Data Labels:</t>
  </si>
  <si>
    <t>1</t>
  </si>
  <si>
    <t>2</t>
  </si>
  <si>
    <t>3</t>
  </si>
  <si>
    <t>M</t>
  </si>
  <si>
    <t>4</t>
  </si>
  <si>
    <t>5</t>
  </si>
  <si>
    <t>6</t>
  </si>
  <si>
    <t>7</t>
  </si>
  <si>
    <t>8</t>
  </si>
  <si>
    <t>f(k2) derivation (aka Simple average)</t>
  </si>
  <si>
    <t>f(k0) derivation (aka Cik^2 weighted average of factors)</t>
  </si>
  <si>
    <t>Diag 1:</t>
  </si>
  <si>
    <t>9</t>
  </si>
  <si>
    <t>Simple avg:</t>
  </si>
  <si>
    <t>f(k1) derivation (aka vol. wtd. avg)</t>
  </si>
  <si>
    <t>Total</t>
  </si>
  <si>
    <t>Plot:  ( C(i,k+1) - C(i,k) x f(k) ) / C(i,k)^.5 / s(k) v. C(i,k)</t>
  </si>
  <si>
    <t>Diag 2:</t>
  </si>
  <si>
    <t>j</t>
  </si>
  <si>
    <t>S(j)</t>
  </si>
  <si>
    <t>L(j)</t>
  </si>
  <si>
    <t>Z(j)</t>
  </si>
  <si>
    <t>E(Z(j))</t>
  </si>
  <si>
    <t>Var(Z(j))</t>
  </si>
  <si>
    <t>(n-1,m)</t>
  </si>
  <si>
    <t>Diag 3:</t>
  </si>
  <si>
    <t>f(1)=</t>
  </si>
  <si>
    <t>s(1)=</t>
  </si>
  <si>
    <t>Diag 4:</t>
  </si>
  <si>
    <t>Cumulative factor</t>
  </si>
  <si>
    <t>Diag 5:</t>
  </si>
  <si>
    <t>Plot: R(1,i,k+1) = ( C(i,k+1) - C(i,k) x f(k,1) ) / C(i,k) ^.5 v. C(i,k)</t>
  </si>
  <si>
    <t xml:space="preserve">             k=1</t>
  </si>
  <si>
    <t>Diag 6:</t>
  </si>
  <si>
    <t>10 Accident years so I = 10</t>
  </si>
  <si>
    <t>C(i,1)*f(1)</t>
  </si>
  <si>
    <t>C(i,2)-C(i,1)*f(1)</t>
  </si>
  <si>
    <t>C(i,1)^.5</t>
  </si>
  <si>
    <t>(4)/(5)/(s(1)</t>
  </si>
  <si>
    <t>Diag 7:</t>
  </si>
  <si>
    <t>f(1,1)=</t>
  </si>
  <si>
    <t>Diag 8:</t>
  </si>
  <si>
    <t>Intermediate Calculations (1)</t>
  </si>
  <si>
    <t>D(i,k) = C(i,k) x (C(i,k+1)/C(i,k) - f(k))^2</t>
  </si>
  <si>
    <t>Diag 9:</t>
  </si>
  <si>
    <t>R(1,i,k+1)</t>
  </si>
  <si>
    <t>Check:</t>
  </si>
  <si>
    <t>Minimum:</t>
  </si>
  <si>
    <t>Maximum:</t>
  </si>
  <si>
    <t>Actual Z:</t>
  </si>
  <si>
    <t>j= number of diagonal</t>
  </si>
  <si>
    <t>S(j) = number of Small's</t>
  </si>
  <si>
    <t>L(j) = number of Large's</t>
  </si>
  <si>
    <t>Plot: R(2,i,k+1) = ( C(i,k+1) - C(i,k) x f(k,2) ) / C(i,k) v. C(i,k)</t>
  </si>
  <si>
    <t>Z(j) = Min(L(j),S(j))</t>
  </si>
  <si>
    <t>Intermediate Calculations (2)</t>
  </si>
  <si>
    <t>s(k)^2 = ( D(1,k)+...D(I,k) ) / (I-k-1)</t>
  </si>
  <si>
    <t>n=S(j)+L(j)</t>
  </si>
  <si>
    <t>f(1,2)=</t>
  </si>
  <si>
    <t>m=(n-1)/2</t>
  </si>
  <si>
    <t>E(Z(j)),Var(E(j)) are our test statistics.</t>
  </si>
  <si>
    <t>R(2,i,k+1)</t>
  </si>
  <si>
    <t>Intermediate Calculations (3)</t>
  </si>
  <si>
    <t>E(k) = C(1,k) + ..... + C(I-k,k)</t>
  </si>
  <si>
    <t>E(k)</t>
  </si>
  <si>
    <t>Intermediate Calculations (4)</t>
  </si>
  <si>
    <t>F(i,k) = (s(k)^2) / (f(k)^2) x (1/C(i,k)+1/(E(k))</t>
  </si>
  <si>
    <t>SE(R(i))/R(i)</t>
  </si>
  <si>
    <t>Intermediate Calculations (5)</t>
  </si>
  <si>
    <t>G(i) = C(i+1,I) + .... C(I,I)</t>
  </si>
  <si>
    <t>MSE(R(i)) = (C(i,I)^2) x ( F(i,1) + .... + F(i,I) )</t>
  </si>
  <si>
    <t>SE(R(i)) = MSE(R(i))^(1/2)</t>
  </si>
  <si>
    <t>G(i)</t>
  </si>
  <si>
    <t>Odd or Even?</t>
  </si>
  <si>
    <t>No. of values:</t>
  </si>
  <si>
    <t>Median number(s):</t>
  </si>
  <si>
    <t>Median value:</t>
  </si>
  <si>
    <t>Copy of Counter:</t>
  </si>
  <si>
    <t>D(X):</t>
  </si>
  <si>
    <t>Intermediate Calculations (6)</t>
  </si>
  <si>
    <t>H(k) = 2 x (s(k)^2) / (f(k)^2) / E(k)</t>
  </si>
  <si>
    <t>H(k)</t>
  </si>
  <si>
    <t>Intermediate Calculations (7), (8)</t>
  </si>
  <si>
    <t>J(i) = H(1+I-i) + ..... + H(I-1)</t>
  </si>
  <si>
    <t>K(i) = SE(R(i))^2 + C(i,I) x G(i) x J(i)</t>
  </si>
  <si>
    <t>J(i)</t>
  </si>
  <si>
    <t>K(i)</t>
  </si>
  <si>
    <t>MSE(R)</t>
  </si>
  <si>
    <t>MSE(R) = K(2) + .... + K(I)</t>
  </si>
  <si>
    <t>SE(R)</t>
  </si>
  <si>
    <t>SE(R) = MSE(R)^(1/2)</t>
  </si>
  <si>
    <t>Footer:</t>
  </si>
  <si>
    <t>Print Macro</t>
  </si>
  <si>
    <t>\p:</t>
  </si>
  <si>
    <t>:prcrspage0~g</t>
  </si>
  <si>
    <t>:prcrspage1~g</t>
  </si>
  <si>
    <t>:prcrspage2~g</t>
  </si>
  <si>
    <t>:prcrspage3~g</t>
  </si>
  <si>
    <t>Counter:</t>
  </si>
  <si>
    <t>S/L/M calculation</t>
  </si>
  <si>
    <t>\z:</t>
  </si>
  <si>
    <t>/reerase_all~{for counter,1,9,1,loop2}</t>
  </si>
  <si>
    <t>Loop2:</t>
  </si>
  <si>
    <t>{calc}/rvrvfrom~rvto~</t>
  </si>
  <si>
    <t>/reerase_bit~/rvF(9)~copy_to~</t>
  </si>
  <si>
    <t>/dsg{calc}/rvrvfrom2~rvto2~</t>
  </si>
  <si>
    <t>/ccopyfrom~O(9)~/rvO(9)~O(9)~</t>
  </si>
  <si>
    <t>Help/Auto-start</t>
  </si>
  <si>
    <t>\h,\0:</t>
  </si>
  <si>
    <t>{goto}start_screen~</t>
  </si>
  <si>
    <t>Distribution-free Chain-ladder calculations and diagnostics</t>
  </si>
  <si>
    <t>This spreadsheet calculates the distribution-free SE's, and reproduces some</t>
  </si>
  <si>
    <t>of the diagnostic checks, from Thomas Mack's IoA/FoA Claims Reserving Manual</t>
  </si>
  <si>
    <t>paper. This spreadsheet should only be viewed in conjunction with that paper.</t>
  </si>
  <si>
    <t>This spreadsheet is purely for illustration only. The Institute and Faculty</t>
  </si>
  <si>
    <t>of Actuaries take no responsibility for the accuracy or validity of any</t>
  </si>
  <si>
    <t>calculations produced by this spreadsheet. It is provided solely as an</t>
  </si>
  <si>
    <t>educational tool, to help interested parties understand the calculations,</t>
  </si>
  <si>
    <t>and diagnostic checks of the assumptions, included in Thomas Mack's</t>
  </si>
  <si>
    <t>paper in the Claims Reserving Manual.</t>
  </si>
  <si>
    <t>The spreadsheet is a mechanical replication of the examples given in</t>
  </si>
  <si>
    <t>the paper, and is NOT suitable as a reserving tool and should NOT be</t>
  </si>
  <si>
    <t xml:space="preserve">used as such. </t>
  </si>
  <si>
    <t>The layout of the spreadsheet is:</t>
  </si>
  <si>
    <t>Calculation of SE's per main body of paper:</t>
  </si>
  <si>
    <t>A1..Z112</t>
  </si>
  <si>
    <t>Testing Assumption 1:</t>
  </si>
  <si>
    <t>CA1..CK55</t>
  </si>
  <si>
    <t>Testing Assumption 2, part 1:</t>
  </si>
  <si>
    <t>DA1..DL73</t>
  </si>
  <si>
    <t>EA1..GM53</t>
  </si>
  <si>
    <t>Testing Assumption 3:</t>
  </si>
  <si>
    <t>HA1..HK58</t>
  </si>
  <si>
    <t>Macros set up are:</t>
  </si>
  <si>
    <t>Help macro to return to this screen</t>
  </si>
  <si>
    <t>\h</t>
  </si>
  <si>
    <t>Print macro to print intermediate SE calcualtions</t>
  </si>
  <si>
    <t>\p</t>
  </si>
  <si>
    <t>Calculation of smallest/largest factors</t>
  </si>
  <si>
    <t>\z</t>
  </si>
  <si>
    <t>\z is needed to calculate the triangle of L's and S's for testing assumption 2.</t>
  </si>
  <si>
    <t>There may be more direct ways of calculating these factors.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</si>
</sst>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_)"/>
    <numFmt numFmtId="165" formatCode="#,##0_);\(#,##0\)"/>
    <numFmt numFmtId="166" formatCode="0.00_)"/>
    <numFmt numFmtId="167" formatCode="0.000_)"/>
    <numFmt numFmtId="168" formatCode="#,##0.00_);\(#,##0.00\)"/>
    <numFmt numFmtId="169" formatCode="0.0E+00_)"/>
    <numFmt numFmtId="170" formatCode="0.0000E+00_)"/>
  </numFmts>
  <fonts count="13">
    <font>
      <sz val="10"/>
      <name val="Arial MT"/>
      <family val="0"/>
    </font>
    <font>
      <sz val="10"/>
      <name val="Arial"/>
      <family val="0"/>
    </font>
    <font>
      <sz val="10"/>
      <color indexed="12"/>
      <name val="Arial MT"/>
      <family val="0"/>
    </font>
    <font>
      <b/>
      <sz val="12"/>
      <name val="TimesNewRomanPS"/>
      <family val="0"/>
    </font>
    <font>
      <sz val="12"/>
      <name val="TimesNewRomanPS"/>
      <family val="0"/>
    </font>
    <font>
      <b/>
      <sz val="10"/>
      <name val="Arial MT"/>
      <family val="0"/>
    </font>
    <font>
      <b/>
      <u val="single"/>
      <sz val="12"/>
      <name val="TimesNewRomanPS"/>
      <family val="0"/>
    </font>
    <font>
      <sz val="10"/>
      <name val="TimesNewRomanPS"/>
      <family val="0"/>
    </font>
    <font>
      <u val="single"/>
      <sz val="10"/>
      <name val="TimesNewRomanPS"/>
      <family val="0"/>
    </font>
    <font>
      <b/>
      <u val="single"/>
      <sz val="10"/>
      <name val="TimesNewRomanPS"/>
      <family val="0"/>
    </font>
    <font>
      <b/>
      <u val="single"/>
      <sz val="10"/>
      <name val="Arial MT"/>
      <family val="0"/>
    </font>
    <font>
      <b/>
      <sz val="10"/>
      <name val="TimesNewRomanPS"/>
      <family val="0"/>
    </font>
    <font>
      <u val="single"/>
      <sz val="12"/>
      <name val="TimesNewRomanPS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1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3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10" fillId="0" borderId="0" xfId="0" applyFont="1" applyAlignment="1">
      <alignment/>
    </xf>
    <xf numFmtId="0" fontId="4" fillId="0" borderId="1" xfId="0" applyFont="1" applyBorder="1" applyAlignment="1" applyProtection="1">
      <alignment horizontal="center"/>
      <protection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" xfId="0" applyFont="1" applyBorder="1" applyAlignment="1" applyProtection="1">
      <alignment/>
      <protection/>
    </xf>
    <xf numFmtId="0" fontId="7" fillId="0" borderId="3" xfId="0" applyFont="1" applyBorder="1" applyAlignment="1">
      <alignment horizontal="center"/>
    </xf>
    <xf numFmtId="0" fontId="7" fillId="0" borderId="0" xfId="0" applyFont="1" applyAlignment="1">
      <alignment horizontal="right"/>
    </xf>
    <xf numFmtId="164" fontId="7" fillId="0" borderId="0" xfId="0" applyNumberFormat="1" applyFont="1" applyAlignment="1" applyProtection="1">
      <alignment/>
      <protection/>
    </xf>
    <xf numFmtId="0" fontId="4" fillId="0" borderId="8" xfId="0" applyFont="1" applyBorder="1" applyAlignment="1" applyProtection="1">
      <alignment horizontal="center"/>
      <protection/>
    </xf>
    <xf numFmtId="0" fontId="4" fillId="0" borderId="9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6" fillId="0" borderId="0" xfId="0" applyFont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8" xfId="0" applyFont="1" applyBorder="1" applyAlignment="1" applyProtection="1">
      <alignment horizontal="center"/>
      <protection/>
    </xf>
    <xf numFmtId="0" fontId="7" fillId="0" borderId="9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5" fillId="0" borderId="0" xfId="0" applyFont="1" applyAlignment="1">
      <alignment horizontal="center"/>
    </xf>
    <xf numFmtId="0" fontId="4" fillId="0" borderId="13" xfId="0" applyFont="1" applyBorder="1" applyAlignment="1" applyProtection="1">
      <alignment/>
      <protection/>
    </xf>
    <xf numFmtId="165" fontId="4" fillId="0" borderId="6" xfId="0" applyNumberFormat="1" applyFont="1" applyBorder="1" applyAlignment="1" applyProtection="1">
      <alignment/>
      <protection locked="0"/>
    </xf>
    <xf numFmtId="165" fontId="4" fillId="0" borderId="14" xfId="0" applyNumberFormat="1" applyFont="1" applyBorder="1" applyAlignment="1" applyProtection="1">
      <alignment/>
      <protection locked="0"/>
    </xf>
    <xf numFmtId="165" fontId="4" fillId="0" borderId="10" xfId="0" applyNumberFormat="1" applyFont="1" applyBorder="1" applyAlignment="1" applyProtection="1">
      <alignment/>
      <protection locked="0"/>
    </xf>
    <xf numFmtId="165" fontId="4" fillId="0" borderId="0" xfId="0" applyNumberFormat="1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7" fillId="0" borderId="13" xfId="0" applyFont="1" applyBorder="1" applyAlignment="1">
      <alignment/>
    </xf>
    <xf numFmtId="165" fontId="7" fillId="0" borderId="14" xfId="0" applyNumberFormat="1" applyFont="1" applyBorder="1" applyAlignment="1" applyProtection="1">
      <alignment/>
      <protection/>
    </xf>
    <xf numFmtId="165" fontId="7" fillId="0" borderId="15" xfId="0" applyNumberFormat="1" applyFont="1" applyBorder="1" applyAlignment="1" applyProtection="1">
      <alignment/>
      <protection/>
    </xf>
    <xf numFmtId="0" fontId="7" fillId="0" borderId="14" xfId="0" applyFont="1" applyBorder="1" applyAlignment="1">
      <alignment/>
    </xf>
    <xf numFmtId="164" fontId="7" fillId="0" borderId="14" xfId="0" applyNumberFormat="1" applyFont="1" applyBorder="1" applyAlignment="1" applyProtection="1">
      <alignment/>
      <protection/>
    </xf>
    <xf numFmtId="164" fontId="7" fillId="0" borderId="16" xfId="0" applyNumberFormat="1" applyFont="1" applyBorder="1" applyAlignment="1" applyProtection="1">
      <alignment/>
      <protection/>
    </xf>
    <xf numFmtId="165" fontId="7" fillId="0" borderId="16" xfId="0" applyNumberFormat="1" applyFont="1" applyBorder="1" applyAlignment="1" applyProtection="1">
      <alignment/>
      <protection/>
    </xf>
    <xf numFmtId="0" fontId="7" fillId="0" borderId="13" xfId="0" applyFont="1" applyBorder="1" applyAlignment="1" applyProtection="1">
      <alignment/>
      <protection/>
    </xf>
    <xf numFmtId="165" fontId="7" fillId="0" borderId="0" xfId="0" applyNumberFormat="1" applyFont="1" applyAlignment="1" applyProtection="1">
      <alignment/>
      <protection locked="0"/>
    </xf>
    <xf numFmtId="165" fontId="7" fillId="0" borderId="0" xfId="0" applyNumberFormat="1" applyFont="1" applyAlignment="1" applyProtection="1">
      <alignment/>
      <protection/>
    </xf>
    <xf numFmtId="165" fontId="4" fillId="0" borderId="16" xfId="0" applyNumberFormat="1" applyFont="1" applyBorder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9" fontId="4" fillId="2" borderId="0" xfId="0" applyNumberFormat="1" applyFont="1" applyFill="1" applyAlignment="1" applyProtection="1">
      <alignment/>
      <protection/>
    </xf>
    <xf numFmtId="166" fontId="7" fillId="0" borderId="0" xfId="0" applyNumberFormat="1" applyFont="1" applyAlignment="1" applyProtection="1">
      <alignment/>
      <protection/>
    </xf>
    <xf numFmtId="165" fontId="4" fillId="0" borderId="14" xfId="0" applyNumberFormat="1" applyFont="1" applyBorder="1" applyAlignment="1" applyProtection="1">
      <alignment/>
      <protection/>
    </xf>
    <xf numFmtId="0" fontId="7" fillId="0" borderId="12" xfId="0" applyFont="1" applyBorder="1" applyAlignment="1">
      <alignment/>
    </xf>
    <xf numFmtId="165" fontId="7" fillId="0" borderId="9" xfId="0" applyNumberFormat="1" applyFont="1" applyBorder="1" applyAlignment="1" applyProtection="1">
      <alignment/>
      <protection/>
    </xf>
    <xf numFmtId="165" fontId="7" fillId="0" borderId="11" xfId="0" applyNumberFormat="1" applyFont="1" applyBorder="1" applyAlignment="1" applyProtection="1">
      <alignment/>
      <protection/>
    </xf>
    <xf numFmtId="0" fontId="7" fillId="0" borderId="9" xfId="0" applyFont="1" applyBorder="1" applyAlignment="1">
      <alignment/>
    </xf>
    <xf numFmtId="164" fontId="7" fillId="0" borderId="9" xfId="0" applyNumberFormat="1" applyFont="1" applyBorder="1" applyAlignment="1" applyProtection="1">
      <alignment/>
      <protection/>
    </xf>
    <xf numFmtId="165" fontId="7" fillId="0" borderId="10" xfId="0" applyNumberFormat="1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165" fontId="4" fillId="0" borderId="9" xfId="0" applyNumberFormat="1" applyFont="1" applyBorder="1" applyAlignment="1" applyProtection="1">
      <alignment/>
      <protection/>
    </xf>
    <xf numFmtId="165" fontId="4" fillId="0" borderId="10" xfId="0" applyNumberFormat="1" applyFont="1" applyBorder="1" applyAlignment="1" applyProtection="1">
      <alignment/>
      <protection/>
    </xf>
    <xf numFmtId="0" fontId="4" fillId="0" borderId="0" xfId="0" applyFont="1" applyAlignment="1">
      <alignment horizontal="right"/>
    </xf>
    <xf numFmtId="0" fontId="0" fillId="0" borderId="14" xfId="0" applyBorder="1" applyAlignment="1">
      <alignment/>
    </xf>
    <xf numFmtId="167" fontId="4" fillId="0" borderId="0" xfId="0" applyNumberFormat="1" applyFont="1" applyAlignment="1" applyProtection="1">
      <alignment/>
      <protection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4" fillId="0" borderId="0" xfId="0" applyFont="1" applyAlignment="1" applyProtection="1">
      <alignment horizontal="right"/>
      <protection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164" fontId="7" fillId="0" borderId="10" xfId="0" applyNumberFormat="1" applyFont="1" applyBorder="1" applyAlignment="1" applyProtection="1">
      <alignment/>
      <protection/>
    </xf>
    <xf numFmtId="0" fontId="11" fillId="0" borderId="22" xfId="0" applyFont="1" applyBorder="1" applyAlignment="1">
      <alignment/>
    </xf>
    <xf numFmtId="0" fontId="7" fillId="0" borderId="29" xfId="0" applyFont="1" applyBorder="1" applyAlignment="1">
      <alignment/>
    </xf>
    <xf numFmtId="0" fontId="0" fillId="0" borderId="29" xfId="0" applyBorder="1" applyAlignment="1">
      <alignment/>
    </xf>
    <xf numFmtId="168" fontId="4" fillId="0" borderId="0" xfId="0" applyNumberFormat="1" applyFont="1" applyAlignment="1" applyProtection="1">
      <alignment/>
      <protection/>
    </xf>
    <xf numFmtId="168" fontId="4" fillId="0" borderId="0" xfId="0" applyNumberFormat="1" applyFont="1" applyAlignment="1" applyProtection="1">
      <alignment/>
      <protection locked="0"/>
    </xf>
    <xf numFmtId="164" fontId="7" fillId="0" borderId="15" xfId="0" applyNumberFormat="1" applyFont="1" applyBorder="1" applyAlignment="1" applyProtection="1">
      <alignment/>
      <protection/>
    </xf>
    <xf numFmtId="164" fontId="7" fillId="0" borderId="11" xfId="0" applyNumberFormat="1" applyFont="1" applyBorder="1" applyAlignment="1" applyProtection="1">
      <alignment/>
      <protection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>
      <alignment horizontal="center"/>
    </xf>
    <xf numFmtId="164" fontId="4" fillId="0" borderId="0" xfId="0" applyNumberFormat="1" applyFont="1" applyAlignment="1" applyProtection="1">
      <alignment horizontal="center"/>
      <protection/>
    </xf>
    <xf numFmtId="164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169" fontId="4" fillId="0" borderId="0" xfId="0" applyNumberFormat="1" applyFont="1" applyAlignment="1" applyProtection="1">
      <alignment/>
      <protection/>
    </xf>
    <xf numFmtId="0" fontId="7" fillId="0" borderId="30" xfId="0" applyFont="1" applyBorder="1" applyAlignment="1">
      <alignment/>
    </xf>
    <xf numFmtId="169" fontId="12" fillId="0" borderId="0" xfId="0" applyNumberFormat="1" applyFont="1" applyAlignment="1" applyProtection="1">
      <alignment/>
      <protection/>
    </xf>
    <xf numFmtId="0" fontId="7" fillId="0" borderId="16" xfId="0" applyFont="1" applyBorder="1" applyAlignment="1">
      <alignment/>
    </xf>
    <xf numFmtId="0" fontId="7" fillId="0" borderId="10" xfId="0" applyFont="1" applyBorder="1" applyAlignment="1">
      <alignment/>
    </xf>
    <xf numFmtId="170" fontId="4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Checking Assumption 1
Plotting C(i,1) v. C(i,2) - C(i,1)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strRef>
                  <c:f>A!$BY$13</c:f>
                  <c:strCache>
                    <c:ptCount val="1"/>
                    <c:pt idx="0">
                      <c:v>1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A!$BY$14</c:f>
                  <c:strCache>
                    <c:ptCount val="1"/>
                    <c:pt idx="0">
                      <c:v>2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A!$BY$15</c:f>
                  <c:strCache>
                    <c:ptCount val="1"/>
                    <c:pt idx="0">
                      <c:v>3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A!$BY$16</c:f>
                  <c:strCache>
                    <c:ptCount val="1"/>
                    <c:pt idx="0">
                      <c:v>4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A!$BY$17</c:f>
                  <c:strCache>
                    <c:ptCount val="1"/>
                    <c:pt idx="0">
                      <c:v>5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A!$BY$18</c:f>
                  <c:strCache>
                    <c:ptCount val="1"/>
                    <c:pt idx="0">
                      <c:v>6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A!$BY$19</c:f>
                  <c:strCache>
                    <c:ptCount val="1"/>
                    <c:pt idx="0">
                      <c:v>7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A!$BY$20</c:f>
                  <c:strCache>
                    <c:ptCount val="1"/>
                    <c:pt idx="0">
                      <c:v>8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A!$BY$21</c:f>
                  <c:strCache>
                    <c:ptCount val="1"/>
                    <c:pt idx="0">
                      <c:v>9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xVal>
            <c:numRef>
              <c:f>A!$CB$9:$CB$17</c:f>
              <c:numCache>
                <c:ptCount val="9"/>
                <c:pt idx="0">
                  <c:v>5012</c:v>
                </c:pt>
                <c:pt idx="1">
                  <c:v>106</c:v>
                </c:pt>
                <c:pt idx="2">
                  <c:v>3410</c:v>
                </c:pt>
                <c:pt idx="3">
                  <c:v>5655</c:v>
                </c:pt>
                <c:pt idx="4">
                  <c:v>1092</c:v>
                </c:pt>
                <c:pt idx="5">
                  <c:v>1513</c:v>
                </c:pt>
                <c:pt idx="6">
                  <c:v>557</c:v>
                </c:pt>
                <c:pt idx="7">
                  <c:v>1351</c:v>
                </c:pt>
                <c:pt idx="8">
                  <c:v>3133</c:v>
                </c:pt>
              </c:numCache>
            </c:numRef>
          </c:xVal>
          <c:yVal>
            <c:numRef>
              <c:f>A!$CD$9:$CD$17</c:f>
              <c:numCache>
                <c:ptCount val="9"/>
                <c:pt idx="0">
                  <c:v>3257</c:v>
                </c:pt>
                <c:pt idx="1">
                  <c:v>4179</c:v>
                </c:pt>
                <c:pt idx="2">
                  <c:v>5582</c:v>
                </c:pt>
                <c:pt idx="3">
                  <c:v>5900</c:v>
                </c:pt>
                <c:pt idx="4">
                  <c:v>8473</c:v>
                </c:pt>
                <c:pt idx="5">
                  <c:v>4932</c:v>
                </c:pt>
                <c:pt idx="6">
                  <c:v>3463</c:v>
                </c:pt>
                <c:pt idx="7">
                  <c:v>5596</c:v>
                </c:pt>
                <c:pt idx="8">
                  <c:v>2262</c:v>
                </c:pt>
              </c:numCache>
            </c:numRef>
          </c:yVal>
          <c:smooth val="0"/>
        </c:ser>
        <c:axId val="562764"/>
        <c:axId val="5064877"/>
      </c:scatterChart>
      <c:valAx>
        <c:axId val="5627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C(i,1)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5064877"/>
        <c:crosses val="autoZero"/>
        <c:crossBetween val="midCat"/>
        <c:dispUnits/>
      </c:valAx>
      <c:valAx>
        <c:axId val="50648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C(i,2) - C(i,1)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2764"/>
        <c:crosses val="autoZero"/>
        <c:crossBetween val="midCat"/>
        <c:dispUnits/>
      </c:valAx>
      <c:spPr>
        <a:noFill/>
        <a:ln w="3175">
          <a:solid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Checking Assumption 1
Plotting Standardized Residuals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strRef>
                  <c:f>A!$BX$13</c:f>
                  <c:strCache>
                    <c:ptCount val="1"/>
                    <c:pt idx="0">
                      <c:v>1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A!$BX$14</c:f>
                  <c:strCache>
                    <c:ptCount val="1"/>
                    <c:pt idx="0">
                      <c:v>2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A!$BX$15</c:f>
                  <c:strCache>
                    <c:ptCount val="1"/>
                    <c:pt idx="0">
                      <c:v>3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A!$BX$16</c:f>
                  <c:strCache>
                    <c:ptCount val="1"/>
                    <c:pt idx="0">
                      <c:v>4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A!$BX$17</c:f>
                  <c:strCache>
                    <c:ptCount val="1"/>
                    <c:pt idx="0">
                      <c:v>5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A!$BX$18</c:f>
                  <c:strCache>
                    <c:ptCount val="1"/>
                    <c:pt idx="0">
                      <c:v>6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A!$BX$19</c:f>
                  <c:strCache>
                    <c:ptCount val="1"/>
                    <c:pt idx="0">
                      <c:v>7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A!$BX$20</c:f>
                  <c:strCache>
                    <c:ptCount val="1"/>
                    <c:pt idx="0">
                      <c:v>8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A!$BX$21</c:f>
                  <c:strCache>
                    <c:ptCount val="1"/>
                    <c:pt idx="0">
                      <c:v>9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xVal>
            <c:numRef>
              <c:f>A!$CB$9:$CB$17</c:f>
              <c:numCache>
                <c:ptCount val="9"/>
                <c:pt idx="0">
                  <c:v>5012</c:v>
                </c:pt>
                <c:pt idx="1">
                  <c:v>106</c:v>
                </c:pt>
                <c:pt idx="2">
                  <c:v>3410</c:v>
                </c:pt>
                <c:pt idx="3">
                  <c:v>5655</c:v>
                </c:pt>
                <c:pt idx="4">
                  <c:v>1092</c:v>
                </c:pt>
                <c:pt idx="5">
                  <c:v>1513</c:v>
                </c:pt>
                <c:pt idx="6">
                  <c:v>557</c:v>
                </c:pt>
                <c:pt idx="7">
                  <c:v>1351</c:v>
                </c:pt>
                <c:pt idx="8">
                  <c:v>3133</c:v>
                </c:pt>
              </c:numCache>
            </c:numRef>
          </c:xVal>
          <c:yVal>
            <c:numRef>
              <c:f>A!$CH$27:$CH$35</c:f>
              <c:numCache>
                <c:ptCount val="9"/>
                <c:pt idx="0">
                  <c:v>-0.5721512041815494</c:v>
                </c:pt>
                <c:pt idx="1">
                  <c:v>2.3075080647977186</c:v>
                </c:pt>
                <c:pt idx="2">
                  <c:v>-0.126736610367177</c:v>
                </c:pt>
                <c:pt idx="3">
                  <c:v>-0.43054270201535744</c:v>
                </c:pt>
                <c:pt idx="4">
                  <c:v>1.1398433078749297</c:v>
                </c:pt>
                <c:pt idx="5">
                  <c:v>0.2935965826218851</c:v>
                </c:pt>
                <c:pt idx="6">
                  <c:v>0.5961396085100358</c:v>
                </c:pt>
                <c:pt idx="7">
                  <c:v>0.4716581873221491</c:v>
                </c:pt>
                <c:pt idx="8">
                  <c:v>-0.4281760682756756</c:v>
                </c:pt>
              </c:numCache>
            </c:numRef>
          </c:yVal>
          <c:smooth val="0"/>
        </c:ser>
        <c:axId val="45583894"/>
        <c:axId val="7601863"/>
      </c:scatterChart>
      <c:valAx>
        <c:axId val="455838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C(i,1)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7601863"/>
        <c:crosses val="autoZero"/>
        <c:crossBetween val="midCat"/>
        <c:dispUnits/>
      </c:valAx>
      <c:valAx>
        <c:axId val="7601863"/>
        <c:scaling>
          <c:orientation val="minMax"/>
          <c:max val="2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Stanardized Residuals (6)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583894"/>
        <c:crosses val="autoZero"/>
        <c:crossBetween val="midCat"/>
        <c:dispUnits/>
      </c:valAx>
      <c:spPr>
        <a:noFill/>
        <a:ln w="3175">
          <a:solid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Checking Assumption 2
Plotting Standardized Residuals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strRef>
                  <c:f>A!$DB$9</c:f>
                  <c:strCache>
                    <c:ptCount val="1"/>
                    <c:pt idx="0">
                      <c:v>1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A!$DB$10</c:f>
                  <c:strCache>
                    <c:ptCount val="1"/>
                    <c:pt idx="0">
                      <c:v>2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A!$DB$11</c:f>
                  <c:strCache>
                    <c:ptCount val="1"/>
                    <c:pt idx="0">
                      <c:v>3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A!$DB$12</c:f>
                  <c:strCache>
                    <c:ptCount val="1"/>
                    <c:pt idx="0">
                      <c:v>4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A!$DB$13</c:f>
                  <c:strCache>
                    <c:ptCount val="1"/>
                    <c:pt idx="0">
                      <c:v>5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A!$DB$14</c:f>
                  <c:strCache>
                    <c:ptCount val="1"/>
                    <c:pt idx="0">
                      <c:v>6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A!$DB$15</c:f>
                  <c:strCache>
                    <c:ptCount val="1"/>
                    <c:pt idx="0">
                      <c:v>7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A!$DB$16</c:f>
                  <c:strCache>
                    <c:ptCount val="1"/>
                    <c:pt idx="0">
                      <c:v>8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A!$DB$17</c:f>
                  <c:strCache>
                    <c:ptCount val="1"/>
                    <c:pt idx="0">
                      <c:v>9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A!$DB$18</c:f>
                  <c:strCache>
                    <c:ptCount val="1"/>
                    <c:pt idx="0">
                      <c:v>1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A!$DB$19</c:f>
                  <c:strCache>
                    <c:ptCount val="1"/>
                    <c:pt idx="0">
                      <c:v>2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A!$DB$20</c:f>
                  <c:strCache>
                    <c:ptCount val="1"/>
                    <c:pt idx="0">
                      <c:v>3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A!$DB$21</c:f>
                  <c:strCache>
                    <c:ptCount val="1"/>
                    <c:pt idx="0">
                      <c:v>4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A!$DB$22</c:f>
                  <c:strCache>
                    <c:ptCount val="1"/>
                    <c:pt idx="0">
                      <c:v>5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A!$DB$23</c:f>
                  <c:strCache>
                    <c:ptCount val="1"/>
                    <c:pt idx="0">
                      <c:v>6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A!$DB$24</c:f>
                  <c:strCache>
                    <c:ptCount val="1"/>
                    <c:pt idx="0">
                      <c:v>7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A!$DB$25</c:f>
                  <c:strCache>
                    <c:ptCount val="1"/>
                    <c:pt idx="0">
                      <c:v>8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A!$DB$26</c:f>
                  <c:strCache>
                    <c:ptCount val="1"/>
                    <c:pt idx="0">
                      <c:v>1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strRef>
                  <c:f>A!$DB$27</c:f>
                  <c:strCache>
                    <c:ptCount val="1"/>
                    <c:pt idx="0">
                      <c:v>2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strRef>
                  <c:f>A!$DB$28</c:f>
                  <c:strCache>
                    <c:ptCount val="1"/>
                    <c:pt idx="0">
                      <c:v>3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strRef>
                  <c:f>A!$DB$29</c:f>
                  <c:strCache>
                    <c:ptCount val="1"/>
                    <c:pt idx="0">
                      <c:v>4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strRef>
                  <c:f>A!$DB$30</c:f>
                  <c:strCache>
                    <c:ptCount val="1"/>
                    <c:pt idx="0">
                      <c:v>5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strRef>
                  <c:f>A!$DB$31</c:f>
                  <c:strCache>
                    <c:ptCount val="1"/>
                    <c:pt idx="0">
                      <c:v>6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strRef>
                  <c:f>A!$DB$32</c:f>
                  <c:strCache>
                    <c:ptCount val="1"/>
                    <c:pt idx="0">
                      <c:v>7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strRef>
                  <c:f>A!$DB$33</c:f>
                  <c:strCache>
                    <c:ptCount val="1"/>
                    <c:pt idx="0">
                      <c:v>1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strRef>
                  <c:f>A!$DB$34</c:f>
                  <c:strCache>
                    <c:ptCount val="1"/>
                    <c:pt idx="0">
                      <c:v>2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strRef>
                  <c:f>A!$DB$35</c:f>
                  <c:strCache>
                    <c:ptCount val="1"/>
                    <c:pt idx="0">
                      <c:v>3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strRef>
                  <c:f>A!$DB$36</c:f>
                  <c:strCache>
                    <c:ptCount val="1"/>
                    <c:pt idx="0">
                      <c:v>4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strRef>
                  <c:f>A!$DB$37</c:f>
                  <c:strCache>
                    <c:ptCount val="1"/>
                    <c:pt idx="0">
                      <c:v>5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tx>
                <c:strRef>
                  <c:f>A!$DB$38</c:f>
                  <c:strCache>
                    <c:ptCount val="1"/>
                    <c:pt idx="0">
                      <c:v>6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tx>
                <c:strRef>
                  <c:f>A!$DB$39</c:f>
                  <c:strCache>
                    <c:ptCount val="1"/>
                    <c:pt idx="0">
                      <c:v>1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tx>
                <c:strRef>
                  <c:f>A!$DB$40</c:f>
                  <c:strCache>
                    <c:ptCount val="1"/>
                    <c:pt idx="0">
                      <c:v>2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tx>
                <c:strRef>
                  <c:f>A!$DB$41</c:f>
                  <c:strCache>
                    <c:ptCount val="1"/>
                    <c:pt idx="0">
                      <c:v>3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tx>
                <c:strRef>
                  <c:f>A!$DB$42</c:f>
                  <c:strCache>
                    <c:ptCount val="1"/>
                    <c:pt idx="0">
                      <c:v>4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tx>
                <c:strRef>
                  <c:f>A!$DB$43</c:f>
                  <c:strCache>
                    <c:ptCount val="1"/>
                    <c:pt idx="0">
                      <c:v>5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tx>
                <c:strRef>
                  <c:f>A!$DB$44</c:f>
                  <c:strCache>
                    <c:ptCount val="1"/>
                    <c:pt idx="0">
                      <c:v>1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6"/>
              <c:tx>
                <c:strRef>
                  <c:f>A!$DB$45</c:f>
                  <c:strCache>
                    <c:ptCount val="1"/>
                    <c:pt idx="0">
                      <c:v>2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7"/>
              <c:tx>
                <c:strRef>
                  <c:f>A!$DB$46</c:f>
                  <c:strCache>
                    <c:ptCount val="1"/>
                    <c:pt idx="0">
                      <c:v>3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8"/>
              <c:tx>
                <c:strRef>
                  <c:f>A!$DB$47</c:f>
                  <c:strCache>
                    <c:ptCount val="1"/>
                    <c:pt idx="0">
                      <c:v>4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9"/>
              <c:tx>
                <c:strRef>
                  <c:f>A!$DB$48</c:f>
                  <c:strCache>
                    <c:ptCount val="1"/>
                    <c:pt idx="0">
                      <c:v>1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0"/>
              <c:tx>
                <c:strRef>
                  <c:f>A!$DB$49</c:f>
                  <c:strCache>
                    <c:ptCount val="1"/>
                    <c:pt idx="0">
                      <c:v>2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1"/>
              <c:tx>
                <c:strRef>
                  <c:f>A!$DB$50</c:f>
                  <c:strCache>
                    <c:ptCount val="1"/>
                    <c:pt idx="0">
                      <c:v>3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2"/>
              <c:tx>
                <c:strRef>
                  <c:f>A!$DB$51</c:f>
                  <c:strCache>
                    <c:ptCount val="1"/>
                    <c:pt idx="0">
                      <c:v>1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3"/>
              <c:tx>
                <c:strRef>
                  <c:f>A!$DB$52</c:f>
                  <c:strCache>
                    <c:ptCount val="1"/>
                    <c:pt idx="0">
                      <c:v>2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4"/>
              <c:tx>
                <c:strRef>
                  <c:f>A!$DB$53</c:f>
                  <c:strCache>
                    <c:ptCount val="1"/>
                    <c:pt idx="0">
                      <c:v>1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xVal>
            <c:numRef>
              <c:f>A!$DD$9:$DD$53</c:f>
              <c:numCache>
                <c:ptCount val="4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9</c:v>
                </c:pt>
                <c:pt idx="43">
                  <c:v>10</c:v>
                </c:pt>
                <c:pt idx="44">
                  <c:v>10</c:v>
                </c:pt>
              </c:numCache>
            </c:numRef>
          </c:xVal>
          <c:yVal>
            <c:numRef>
              <c:f>A!$DL$9:$DL$53</c:f>
              <c:numCache>
                <c:ptCount val="45"/>
                <c:pt idx="0">
                  <c:v>-0.5721512041815494</c:v>
                </c:pt>
                <c:pt idx="1">
                  <c:v>2.3075080647977186</c:v>
                </c:pt>
                <c:pt idx="2">
                  <c:v>-0.126736610367177</c:v>
                </c:pt>
                <c:pt idx="3">
                  <c:v>-0.43054270201535744</c:v>
                </c:pt>
                <c:pt idx="4">
                  <c:v>1.1398433078749297</c:v>
                </c:pt>
                <c:pt idx="5">
                  <c:v>0.2935965826218851</c:v>
                </c:pt>
                <c:pt idx="6">
                  <c:v>0.5961396085100358</c:v>
                </c:pt>
                <c:pt idx="7">
                  <c:v>0.4716581873221491</c:v>
                </c:pt>
                <c:pt idx="8">
                  <c:v>-0.4281760682756756</c:v>
                </c:pt>
                <c:pt idx="9">
                  <c:v>-0.8316501085262541</c:v>
                </c:pt>
                <c:pt idx="10">
                  <c:v>-0.7161392119557857</c:v>
                </c:pt>
                <c:pt idx="11">
                  <c:v>-0.2298613278741714</c:v>
                </c:pt>
                <c:pt idx="12">
                  <c:v>-0.8364993299233047</c:v>
                </c:pt>
                <c:pt idx="13">
                  <c:v>0.09428221260611679</c:v>
                </c:pt>
                <c:pt idx="14">
                  <c:v>0.4633135801042303</c:v>
                </c:pt>
                <c:pt idx="15">
                  <c:v>2.093539084495884</c:v>
                </c:pt>
                <c:pt idx="16">
                  <c:v>0.6606669808902458</c:v>
                </c:pt>
                <c:pt idx="17">
                  <c:v>-0.7488832619271695</c:v>
                </c:pt>
                <c:pt idx="18">
                  <c:v>1.9715856958970273</c:v>
                </c:pt>
                <c:pt idx="19">
                  <c:v>-0.48109620804550257</c:v>
                </c:pt>
                <c:pt idx="20">
                  <c:v>0.3722852976530907</c:v>
                </c:pt>
                <c:pt idx="21">
                  <c:v>0.6174664560243729</c:v>
                </c:pt>
                <c:pt idx="22">
                  <c:v>-0.6809361089354168</c:v>
                </c:pt>
                <c:pt idx="23">
                  <c:v>-0.5805471477216495</c:v>
                </c:pt>
                <c:pt idx="24">
                  <c:v>-0.3441814639218673</c:v>
                </c:pt>
                <c:pt idx="25">
                  <c:v>1.5899835563510554</c:v>
                </c:pt>
                <c:pt idx="26">
                  <c:v>-0.17804367673926413</c:v>
                </c:pt>
                <c:pt idx="27">
                  <c:v>-1.3073597737264016</c:v>
                </c:pt>
                <c:pt idx="28">
                  <c:v>-0.017041720351537816</c:v>
                </c:pt>
                <c:pt idx="29">
                  <c:v>0.7825035855563419</c:v>
                </c:pt>
                <c:pt idx="30">
                  <c:v>0.8704320295860855</c:v>
                </c:pt>
                <c:pt idx="31">
                  <c:v>0.1982291114660879</c:v>
                </c:pt>
                <c:pt idx="32">
                  <c:v>0.9056367856908215</c:v>
                </c:pt>
                <c:pt idx="33">
                  <c:v>0.0011711983782891312</c:v>
                </c:pt>
                <c:pt idx="34">
                  <c:v>-1.5436560309654344</c:v>
                </c:pt>
                <c:pt idx="35">
                  <c:v>1.4143397937830746</c:v>
                </c:pt>
                <c:pt idx="36">
                  <c:v>-0.9488359559572129</c:v>
                </c:pt>
                <c:pt idx="37">
                  <c:v>-0.2967048943923113</c:v>
                </c:pt>
                <c:pt idx="38">
                  <c:v>-0.10639305451041121</c:v>
                </c:pt>
                <c:pt idx="39">
                  <c:v>-0.00027863730047225</c:v>
                </c:pt>
                <c:pt idx="40">
                  <c:v>1.0919335774239154</c:v>
                </c:pt>
                <c:pt idx="41">
                  <c:v>-0.8987107348059914</c:v>
                </c:pt>
                <c:pt idx="42">
                  <c:v>-0.6818604846758947</c:v>
                </c:pt>
                <c:pt idx="43">
                  <c:v>0.7314822482039811</c:v>
                </c:pt>
                <c:pt idx="44">
                  <c:v>0</c:v>
                </c:pt>
              </c:numCache>
            </c:numRef>
          </c:yVal>
          <c:smooth val="0"/>
        </c:ser>
        <c:axId val="1307904"/>
        <c:axId val="11771137"/>
      </c:scatterChart>
      <c:valAx>
        <c:axId val="1307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Inflation Index (i+k)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11771137"/>
        <c:crosses val="autoZero"/>
        <c:crossBetween val="midCat"/>
        <c:dispUnits/>
      </c:valAx>
      <c:valAx>
        <c:axId val="11771137"/>
        <c:scaling>
          <c:orientation val="minMax"/>
          <c:max val="2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Standardized Residuals (11)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07904"/>
        <c:crosses val="autoZero"/>
        <c:crossBetween val="midCat"/>
        <c:dispUnits/>
      </c:valAx>
      <c:spPr>
        <a:noFill/>
        <a:ln w="3175">
          <a:solid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Checking Assumption 3
Plotting R(0,i,k+1) v. C(i,k)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strRef>
                  <c:f>A!$GY$11</c:f>
                  <c:strCache>
                    <c:ptCount val="1"/>
                    <c:pt idx="0">
                      <c:v>1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A!$GY$12</c:f>
                  <c:strCache>
                    <c:ptCount val="1"/>
                    <c:pt idx="0">
                      <c:v>2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A!$GY$13</c:f>
                  <c:strCache>
                    <c:ptCount val="1"/>
                    <c:pt idx="0">
                      <c:v>3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A!$GY$14</c:f>
                  <c:strCache>
                    <c:ptCount val="1"/>
                    <c:pt idx="0">
                      <c:v>4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A!$GY$15</c:f>
                  <c:strCache>
                    <c:ptCount val="1"/>
                    <c:pt idx="0">
                      <c:v>5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A!$GY$16</c:f>
                  <c:strCache>
                    <c:ptCount val="1"/>
                    <c:pt idx="0">
                      <c:v>6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A!$GY$17</c:f>
                  <c:strCache>
                    <c:ptCount val="1"/>
                    <c:pt idx="0">
                      <c:v>7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A!$GY$18</c:f>
                  <c:strCache>
                    <c:ptCount val="1"/>
                    <c:pt idx="0">
                      <c:v>8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A!$GY$19</c:f>
                  <c:strCache>
                    <c:ptCount val="1"/>
                    <c:pt idx="0">
                      <c:v>9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xVal>
            <c:numRef>
              <c:f>A!$HB$11:$HB$19</c:f>
              <c:numCache>
                <c:ptCount val="9"/>
                <c:pt idx="0">
                  <c:v>5012</c:v>
                </c:pt>
                <c:pt idx="1">
                  <c:v>106</c:v>
                </c:pt>
                <c:pt idx="2">
                  <c:v>3410</c:v>
                </c:pt>
                <c:pt idx="3">
                  <c:v>5655</c:v>
                </c:pt>
                <c:pt idx="4">
                  <c:v>1092</c:v>
                </c:pt>
                <c:pt idx="5">
                  <c:v>1513</c:v>
                </c:pt>
                <c:pt idx="6">
                  <c:v>557</c:v>
                </c:pt>
                <c:pt idx="7">
                  <c:v>1351</c:v>
                </c:pt>
                <c:pt idx="8">
                  <c:v>3133</c:v>
                </c:pt>
              </c:numCache>
            </c:numRef>
          </c:xVal>
          <c:yVal>
            <c:numRef>
              <c:f>A!$HD$11:$HD$19</c:f>
              <c:numCache>
                <c:ptCount val="9"/>
                <c:pt idx="0">
                  <c:v>-2843.812702604002</c:v>
                </c:pt>
                <c:pt idx="1">
                  <c:v>4049.9724368563398</c:v>
                </c:pt>
                <c:pt idx="2">
                  <c:v>1431.207638491691</c:v>
                </c:pt>
                <c:pt idx="3">
                  <c:v>-983.4987695980908</c:v>
                </c:pt>
                <c:pt idx="4">
                  <c:v>7143.772651387955</c:v>
                </c:pt>
                <c:pt idx="5">
                  <c:v>3090.3141222985128</c:v>
                </c:pt>
                <c:pt idx="6">
                  <c:v>2784.9966729149182</c:v>
                </c:pt>
                <c:pt idx="7">
                  <c:v>3951.5071904992005</c:v>
                </c:pt>
                <c:pt idx="8">
                  <c:v>-1551.6165597083673</c:v>
                </c:pt>
              </c:numCache>
            </c:numRef>
          </c:yVal>
          <c:smooth val="0"/>
        </c:ser>
        <c:axId val="38831370"/>
        <c:axId val="13938011"/>
      </c:scatterChart>
      <c:valAx>
        <c:axId val="388313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C(i,k)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13938011"/>
        <c:crosses val="autoZero"/>
        <c:crossBetween val="midCat"/>
        <c:dispUnits/>
      </c:valAx>
      <c:valAx>
        <c:axId val="13938011"/>
        <c:scaling>
          <c:orientation val="minMax"/>
          <c:max val="8000"/>
          <c:min val="-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R(0,i,k+1)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831370"/>
        <c:crosses val="autoZero"/>
        <c:crossBetween val="midCat"/>
        <c:dispUnits/>
      </c:valAx>
      <c:spPr>
        <a:noFill/>
        <a:ln w="3175">
          <a:solid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Checking Assumption 3
Plotting R(1,i,k+1) v. C(i,k+1)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strRef>
                  <c:f>A!$GY$11</c:f>
                  <c:strCache>
                    <c:ptCount val="1"/>
                    <c:pt idx="0">
                      <c:v>1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A!$GY$12</c:f>
                  <c:strCache>
                    <c:ptCount val="1"/>
                    <c:pt idx="0">
                      <c:v>2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A!$GY$13</c:f>
                  <c:strCache>
                    <c:ptCount val="1"/>
                    <c:pt idx="0">
                      <c:v>3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A!$GY$14</c:f>
                  <c:strCache>
                    <c:ptCount val="1"/>
                    <c:pt idx="0">
                      <c:v>4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A!$GY$15</c:f>
                  <c:strCache>
                    <c:ptCount val="1"/>
                    <c:pt idx="0">
                      <c:v>5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A!$GY$16</c:f>
                  <c:strCache>
                    <c:ptCount val="1"/>
                    <c:pt idx="0">
                      <c:v>6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A!$GY$17</c:f>
                  <c:strCache>
                    <c:ptCount val="1"/>
                    <c:pt idx="0">
                      <c:v>7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A!$GY$18</c:f>
                  <c:strCache>
                    <c:ptCount val="1"/>
                    <c:pt idx="0">
                      <c:v>8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A!$GY$19</c:f>
                  <c:strCache>
                    <c:ptCount val="1"/>
                    <c:pt idx="0">
                      <c:v>9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xVal>
            <c:numRef>
              <c:f>A!$HB$29:$HB$37</c:f>
              <c:numCache>
                <c:ptCount val="9"/>
                <c:pt idx="0">
                  <c:v>5012</c:v>
                </c:pt>
                <c:pt idx="1">
                  <c:v>106</c:v>
                </c:pt>
                <c:pt idx="2">
                  <c:v>3410</c:v>
                </c:pt>
                <c:pt idx="3">
                  <c:v>5655</c:v>
                </c:pt>
                <c:pt idx="4">
                  <c:v>1092</c:v>
                </c:pt>
                <c:pt idx="5">
                  <c:v>1513</c:v>
                </c:pt>
                <c:pt idx="6">
                  <c:v>557</c:v>
                </c:pt>
                <c:pt idx="7">
                  <c:v>1351</c:v>
                </c:pt>
                <c:pt idx="8">
                  <c:v>3133</c:v>
                </c:pt>
              </c:numCache>
            </c:numRef>
          </c:xVal>
          <c:yVal>
            <c:numRef>
              <c:f>A!$HD$29:$HD$37</c:f>
              <c:numCache>
                <c:ptCount val="9"/>
                <c:pt idx="0">
                  <c:v>-95.53979368013647</c:v>
                </c:pt>
                <c:pt idx="1">
                  <c:v>385.315704685769</c:v>
                </c:pt>
                <c:pt idx="2">
                  <c:v>-21.162919028582206</c:v>
                </c:pt>
                <c:pt idx="3">
                  <c:v>-71.89351454722011</c:v>
                </c:pt>
                <c:pt idx="4">
                  <c:v>190.33499128579976</c:v>
                </c:pt>
                <c:pt idx="5">
                  <c:v>49.025776270126386</c:v>
                </c:pt>
                <c:pt idx="6">
                  <c:v>99.54546068478382</c:v>
                </c:pt>
                <c:pt idx="7">
                  <c:v>78.75912097181676</c:v>
                </c:pt>
                <c:pt idx="8">
                  <c:v>-71.49832583215117</c:v>
                </c:pt>
              </c:numCache>
            </c:numRef>
          </c:yVal>
          <c:smooth val="0"/>
        </c:ser>
        <c:axId val="58333236"/>
        <c:axId val="55237077"/>
      </c:scatterChart>
      <c:valAx>
        <c:axId val="58333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C(i,k)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55237077"/>
        <c:crosses val="autoZero"/>
        <c:crossBetween val="midCat"/>
        <c:dispUnits/>
      </c:valAx>
      <c:valAx>
        <c:axId val="55237077"/>
        <c:scaling>
          <c:orientation val="minMax"/>
          <c:max val="2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R(1,i,k+1)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333236"/>
        <c:crosses val="autoZero"/>
        <c:crossBetween val="midCat"/>
        <c:dispUnits/>
      </c:valAx>
      <c:spPr>
        <a:noFill/>
        <a:ln w="3175">
          <a:solid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Checking Assumption 3
Plotting R(2,i,k+1) v. C(i,k)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strRef>
                  <c:f>A!$GY$11</c:f>
                  <c:strCache>
                    <c:ptCount val="1"/>
                    <c:pt idx="0">
                      <c:v>1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A!$GY$12</c:f>
                  <c:strCache>
                    <c:ptCount val="1"/>
                    <c:pt idx="0">
                      <c:v>2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A!$GY$13</c:f>
                  <c:strCache>
                    <c:ptCount val="1"/>
                    <c:pt idx="0">
                      <c:v>3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A!$GY$14</c:f>
                  <c:strCache>
                    <c:ptCount val="1"/>
                    <c:pt idx="0">
                      <c:v>4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A!$GY$15</c:f>
                  <c:strCache>
                    <c:ptCount val="1"/>
                    <c:pt idx="0">
                      <c:v>5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A!$GY$16</c:f>
                  <c:strCache>
                    <c:ptCount val="1"/>
                    <c:pt idx="0">
                      <c:v>6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A!$GY$17</c:f>
                  <c:strCache>
                    <c:ptCount val="1"/>
                    <c:pt idx="0">
                      <c:v>7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A!$GY$18</c:f>
                  <c:strCache>
                    <c:ptCount val="1"/>
                    <c:pt idx="0">
                      <c:v>8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A!$GY$19</c:f>
                  <c:strCache>
                    <c:ptCount val="1"/>
                    <c:pt idx="0">
                      <c:v>9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xVal>
            <c:numRef>
              <c:f>A!$HB$47:$HB$55</c:f>
              <c:numCache>
                <c:ptCount val="9"/>
                <c:pt idx="0">
                  <c:v>5012</c:v>
                </c:pt>
                <c:pt idx="1">
                  <c:v>106</c:v>
                </c:pt>
                <c:pt idx="2">
                  <c:v>3410</c:v>
                </c:pt>
                <c:pt idx="3">
                  <c:v>5655</c:v>
                </c:pt>
                <c:pt idx="4">
                  <c:v>1092</c:v>
                </c:pt>
                <c:pt idx="5">
                  <c:v>1513</c:v>
                </c:pt>
                <c:pt idx="6">
                  <c:v>557</c:v>
                </c:pt>
                <c:pt idx="7">
                  <c:v>1351</c:v>
                </c:pt>
                <c:pt idx="8">
                  <c:v>3133</c:v>
                </c:pt>
              </c:numCache>
            </c:numRef>
          </c:xVal>
          <c:yVal>
            <c:numRef>
              <c:f>A!$HD$47:$HD$55</c:f>
              <c:numCache>
                <c:ptCount val="9"/>
                <c:pt idx="0">
                  <c:v>-6.556258896460748</c:v>
                </c:pt>
                <c:pt idx="1">
                  <c:v>32.21842902234544</c:v>
                </c:pt>
                <c:pt idx="2">
                  <c:v>-5.56914913291379</c:v>
                </c:pt>
                <c:pt idx="3">
                  <c:v>-6.162774787941002</c:v>
                </c:pt>
                <c:pt idx="4">
                  <c:v>0.553058229616154</c:v>
                </c:pt>
                <c:pt idx="5">
                  <c:v>-3.9463504361837876</c:v>
                </c:pt>
                <c:pt idx="6">
                  <c:v>-0.9888640910314812</c:v>
                </c:pt>
                <c:pt idx="7">
                  <c:v>-3.0639823291342494</c:v>
                </c:pt>
                <c:pt idx="8">
                  <c:v>-6.484107578296543</c:v>
                </c:pt>
              </c:numCache>
            </c:numRef>
          </c:yVal>
          <c:smooth val="0"/>
        </c:ser>
        <c:axId val="27371646"/>
        <c:axId val="45018223"/>
      </c:scatterChart>
      <c:valAx>
        <c:axId val="273716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C(i,k)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45018223"/>
        <c:crosses val="autoZero"/>
        <c:crossBetween val="midCat"/>
        <c:dispUnits/>
      </c:valAx>
      <c:valAx>
        <c:axId val="45018223"/>
        <c:scaling>
          <c:orientation val="minMax"/>
          <c:max val="36"/>
          <c:min val="-3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R(2,i,k+1)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371646"/>
        <c:crosses val="autoZero"/>
        <c:crossBetween val="midCat"/>
        <c:dispUnits/>
      </c:valAx>
      <c:spPr>
        <a:noFill/>
        <a:ln w="3175">
          <a:solid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Checking Assumption 3
Plotting R(1,i,k+1) v. C(i,k+1)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strRef>
                  <c:f>A!$GY$11</c:f>
                  <c:strCache>
                    <c:ptCount val="1"/>
                    <c:pt idx="0">
                      <c:v>1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A!$GY$12</c:f>
                  <c:strCache>
                    <c:ptCount val="1"/>
                    <c:pt idx="0">
                      <c:v>2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A!$GY$13</c:f>
                  <c:strCache>
                    <c:ptCount val="1"/>
                    <c:pt idx="0">
                      <c:v>3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A!$GY$14</c:f>
                  <c:strCache>
                    <c:ptCount val="1"/>
                    <c:pt idx="0">
                      <c:v>4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A!$GY$15</c:f>
                  <c:strCache>
                    <c:ptCount val="1"/>
                    <c:pt idx="0">
                      <c:v>5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A!$GY$16</c:f>
                  <c:strCache>
                    <c:ptCount val="1"/>
                    <c:pt idx="0">
                      <c:v>6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A!$GY$17</c:f>
                  <c:strCache>
                    <c:ptCount val="1"/>
                    <c:pt idx="0">
                      <c:v>7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A!$GY$18</c:f>
                  <c:strCache>
                    <c:ptCount val="1"/>
                    <c:pt idx="0">
                      <c:v>8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A!$GY$19</c:f>
                  <c:strCache>
                    <c:ptCount val="1"/>
                    <c:pt idx="0">
                      <c:v>9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xVal>
            <c:numRef>
              <c:f>A!$HB$29:$HB$37</c:f>
              <c:numCache>
                <c:ptCount val="9"/>
                <c:pt idx="0">
                  <c:v>5012</c:v>
                </c:pt>
                <c:pt idx="1">
                  <c:v>106</c:v>
                </c:pt>
                <c:pt idx="2">
                  <c:v>3410</c:v>
                </c:pt>
                <c:pt idx="3">
                  <c:v>5655</c:v>
                </c:pt>
                <c:pt idx="4">
                  <c:v>1092</c:v>
                </c:pt>
                <c:pt idx="5">
                  <c:v>1513</c:v>
                </c:pt>
                <c:pt idx="6">
                  <c:v>557</c:v>
                </c:pt>
                <c:pt idx="7">
                  <c:v>1351</c:v>
                </c:pt>
                <c:pt idx="8">
                  <c:v>3133</c:v>
                </c:pt>
              </c:numCache>
            </c:numRef>
          </c:xVal>
          <c:yVal>
            <c:numRef>
              <c:f>A!$HD$29:$HD$37</c:f>
              <c:numCache>
                <c:ptCount val="9"/>
                <c:pt idx="0">
                  <c:v>-95.53979368013647</c:v>
                </c:pt>
                <c:pt idx="1">
                  <c:v>385.315704685769</c:v>
                </c:pt>
                <c:pt idx="2">
                  <c:v>-21.162919028582206</c:v>
                </c:pt>
                <c:pt idx="3">
                  <c:v>-71.89351454722011</c:v>
                </c:pt>
                <c:pt idx="4">
                  <c:v>190.33499128579976</c:v>
                </c:pt>
                <c:pt idx="5">
                  <c:v>49.025776270126386</c:v>
                </c:pt>
                <c:pt idx="6">
                  <c:v>99.54546068478382</c:v>
                </c:pt>
                <c:pt idx="7">
                  <c:v>78.75912097181676</c:v>
                </c:pt>
                <c:pt idx="8">
                  <c:v>-71.49832583215117</c:v>
                </c:pt>
              </c:numCache>
            </c:numRef>
          </c:yVal>
          <c:smooth val="0"/>
        </c:ser>
        <c:axId val="2510824"/>
        <c:axId val="22597417"/>
      </c:scatterChart>
      <c:valAx>
        <c:axId val="25108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C(i,k)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22597417"/>
        <c:crosses val="autoZero"/>
        <c:crossBetween val="midCat"/>
        <c:dispUnits/>
      </c:valAx>
      <c:valAx>
        <c:axId val="22597417"/>
        <c:scaling>
          <c:orientation val="minMax"/>
          <c:max val="2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R(1,i,k+1)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10824"/>
        <c:crosses val="autoZero"/>
        <c:crossBetween val="midCat"/>
        <c:dispUnits/>
      </c:valAx>
      <c:spPr>
        <a:noFill/>
        <a:ln w="3175">
          <a:solid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Checking Assumption 3
Plotting R(2,i,k+1) v. C(i,k)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strRef>
                  <c:f>A!$GY$11</c:f>
                  <c:strCache>
                    <c:ptCount val="1"/>
                    <c:pt idx="0">
                      <c:v>1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A!$GY$12</c:f>
                  <c:strCache>
                    <c:ptCount val="1"/>
                    <c:pt idx="0">
                      <c:v>2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A!$GY$13</c:f>
                  <c:strCache>
                    <c:ptCount val="1"/>
                    <c:pt idx="0">
                      <c:v>3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A!$GY$14</c:f>
                  <c:strCache>
                    <c:ptCount val="1"/>
                    <c:pt idx="0">
                      <c:v>4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A!$GY$15</c:f>
                  <c:strCache>
                    <c:ptCount val="1"/>
                    <c:pt idx="0">
                      <c:v>5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A!$GY$16</c:f>
                  <c:strCache>
                    <c:ptCount val="1"/>
                    <c:pt idx="0">
                      <c:v>6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A!$GY$17</c:f>
                  <c:strCache>
                    <c:ptCount val="1"/>
                    <c:pt idx="0">
                      <c:v>7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A!$GY$18</c:f>
                  <c:strCache>
                    <c:ptCount val="1"/>
                    <c:pt idx="0">
                      <c:v>8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A!$GY$19</c:f>
                  <c:strCache>
                    <c:ptCount val="1"/>
                    <c:pt idx="0">
                      <c:v>9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xVal>
            <c:numRef>
              <c:f>A!$HB$47:$HB$55</c:f>
              <c:numCache>
                <c:ptCount val="9"/>
                <c:pt idx="0">
                  <c:v>5012</c:v>
                </c:pt>
                <c:pt idx="1">
                  <c:v>106</c:v>
                </c:pt>
                <c:pt idx="2">
                  <c:v>3410</c:v>
                </c:pt>
                <c:pt idx="3">
                  <c:v>5655</c:v>
                </c:pt>
                <c:pt idx="4">
                  <c:v>1092</c:v>
                </c:pt>
                <c:pt idx="5">
                  <c:v>1513</c:v>
                </c:pt>
                <c:pt idx="6">
                  <c:v>557</c:v>
                </c:pt>
                <c:pt idx="7">
                  <c:v>1351</c:v>
                </c:pt>
                <c:pt idx="8">
                  <c:v>3133</c:v>
                </c:pt>
              </c:numCache>
            </c:numRef>
          </c:xVal>
          <c:yVal>
            <c:numRef>
              <c:f>A!$HD$47:$HD$55</c:f>
              <c:numCache>
                <c:ptCount val="9"/>
                <c:pt idx="0">
                  <c:v>-6.556258896460748</c:v>
                </c:pt>
                <c:pt idx="1">
                  <c:v>32.21842902234544</c:v>
                </c:pt>
                <c:pt idx="2">
                  <c:v>-5.56914913291379</c:v>
                </c:pt>
                <c:pt idx="3">
                  <c:v>-6.162774787941002</c:v>
                </c:pt>
                <c:pt idx="4">
                  <c:v>0.553058229616154</c:v>
                </c:pt>
                <c:pt idx="5">
                  <c:v>-3.9463504361837876</c:v>
                </c:pt>
                <c:pt idx="6">
                  <c:v>-0.9888640910314812</c:v>
                </c:pt>
                <c:pt idx="7">
                  <c:v>-3.0639823291342494</c:v>
                </c:pt>
                <c:pt idx="8">
                  <c:v>-6.484107578296543</c:v>
                </c:pt>
              </c:numCache>
            </c:numRef>
          </c:yVal>
          <c:smooth val="0"/>
        </c:ser>
        <c:axId val="2050162"/>
        <c:axId val="18451459"/>
      </c:scatterChart>
      <c:valAx>
        <c:axId val="20501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C(i,k)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18451459"/>
        <c:crosses val="autoZero"/>
        <c:crossBetween val="midCat"/>
        <c:dispUnits/>
      </c:valAx>
      <c:valAx>
        <c:axId val="18451459"/>
        <c:scaling>
          <c:orientation val="minMax"/>
          <c:max val="36"/>
          <c:min val="-3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R(2,i,k+1)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50162"/>
        <c:crosses val="autoZero"/>
        <c:crossBetween val="midCat"/>
        <c:dispUnits/>
      </c:valAx>
      <c:spPr>
        <a:noFill/>
        <a:ln w="3175">
          <a:solid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83</xdr:col>
      <xdr:colOff>228600</xdr:colOff>
      <xdr:row>4</xdr:row>
      <xdr:rowOff>38100</xdr:rowOff>
    </xdr:from>
    <xdr:to>
      <xdr:col>88</xdr:col>
      <xdr:colOff>485775</xdr:colOff>
      <xdr:row>20</xdr:row>
      <xdr:rowOff>114300</xdr:rowOff>
    </xdr:to>
    <xdr:graphicFrame>
      <xdr:nvGraphicFramePr>
        <xdr:cNvPr id="1" name="Chart 1"/>
        <xdr:cNvGraphicFramePr/>
      </xdr:nvGraphicFramePr>
      <xdr:xfrm>
        <a:off x="50187225" y="838200"/>
        <a:ext cx="356235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80</xdr:col>
      <xdr:colOff>142875</xdr:colOff>
      <xdr:row>38</xdr:row>
      <xdr:rowOff>38100</xdr:rowOff>
    </xdr:from>
    <xdr:to>
      <xdr:col>85</xdr:col>
      <xdr:colOff>542925</xdr:colOff>
      <xdr:row>54</xdr:row>
      <xdr:rowOff>114300</xdr:rowOff>
    </xdr:to>
    <xdr:graphicFrame>
      <xdr:nvGraphicFramePr>
        <xdr:cNvPr id="2" name="Chart 2"/>
        <xdr:cNvGraphicFramePr/>
      </xdr:nvGraphicFramePr>
      <xdr:xfrm>
        <a:off x="48291750" y="6124575"/>
        <a:ext cx="3705225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106</xdr:col>
      <xdr:colOff>114300</xdr:colOff>
      <xdr:row>54</xdr:row>
      <xdr:rowOff>38100</xdr:rowOff>
    </xdr:from>
    <xdr:to>
      <xdr:col>114</xdr:col>
      <xdr:colOff>485775</xdr:colOff>
      <xdr:row>72</xdr:row>
      <xdr:rowOff>114300</xdr:rowOff>
    </xdr:to>
    <xdr:graphicFrame>
      <xdr:nvGraphicFramePr>
        <xdr:cNvPr id="3" name="Chart 3"/>
        <xdr:cNvGraphicFramePr/>
      </xdr:nvGraphicFramePr>
      <xdr:xfrm>
        <a:off x="63236475" y="8620125"/>
        <a:ext cx="4752975" cy="3695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213</xdr:col>
      <xdr:colOff>142875</xdr:colOff>
      <xdr:row>6</xdr:row>
      <xdr:rowOff>38100</xdr:rowOff>
    </xdr:from>
    <xdr:to>
      <xdr:col>218</xdr:col>
      <xdr:colOff>485775</xdr:colOff>
      <xdr:row>21</xdr:row>
      <xdr:rowOff>114300</xdr:rowOff>
    </xdr:to>
    <xdr:graphicFrame>
      <xdr:nvGraphicFramePr>
        <xdr:cNvPr id="4" name="Chart 4"/>
        <xdr:cNvGraphicFramePr/>
      </xdr:nvGraphicFramePr>
      <xdr:xfrm>
        <a:off x="106032300" y="1247775"/>
        <a:ext cx="3248025" cy="2362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213</xdr:col>
      <xdr:colOff>142875</xdr:colOff>
      <xdr:row>24</xdr:row>
      <xdr:rowOff>38100</xdr:rowOff>
    </xdr:from>
    <xdr:to>
      <xdr:col>218</xdr:col>
      <xdr:colOff>485775</xdr:colOff>
      <xdr:row>39</xdr:row>
      <xdr:rowOff>114300</xdr:rowOff>
    </xdr:to>
    <xdr:graphicFrame>
      <xdr:nvGraphicFramePr>
        <xdr:cNvPr id="5" name="Chart 5"/>
        <xdr:cNvGraphicFramePr/>
      </xdr:nvGraphicFramePr>
      <xdr:xfrm>
        <a:off x="106032300" y="3990975"/>
        <a:ext cx="3248025" cy="2362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213</xdr:col>
      <xdr:colOff>142875</xdr:colOff>
      <xdr:row>42</xdr:row>
      <xdr:rowOff>38100</xdr:rowOff>
    </xdr:from>
    <xdr:to>
      <xdr:col>218</xdr:col>
      <xdr:colOff>485775</xdr:colOff>
      <xdr:row>57</xdr:row>
      <xdr:rowOff>114300</xdr:rowOff>
    </xdr:to>
    <xdr:graphicFrame>
      <xdr:nvGraphicFramePr>
        <xdr:cNvPr id="6" name="Chart 6"/>
        <xdr:cNvGraphicFramePr/>
      </xdr:nvGraphicFramePr>
      <xdr:xfrm>
        <a:off x="106032300" y="6734175"/>
        <a:ext cx="3248025" cy="2581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5619750"/>
    <xdr:graphicFrame>
      <xdr:nvGraphicFramePr>
        <xdr:cNvPr id="1" name="Shape 1025"/>
        <xdr:cNvGraphicFramePr/>
      </xdr:nvGraphicFramePr>
      <xdr:xfrm>
        <a:off x="0" y="0"/>
        <a:ext cx="9572625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5619750"/>
    <xdr:graphicFrame>
      <xdr:nvGraphicFramePr>
        <xdr:cNvPr id="1" name="Shape 1025"/>
        <xdr:cNvGraphicFramePr/>
      </xdr:nvGraphicFramePr>
      <xdr:xfrm>
        <a:off x="0" y="0"/>
        <a:ext cx="9572625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USA\CLODEV04.WK3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ODEV04"/>
    </sheetNames>
    <definedNames>
      <definedName name="DATE_TABL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I297"/>
  <sheetViews>
    <sheetView showGridLines="0" tabSelected="1" workbookViewId="0" topLeftCell="A255">
      <selection activeCell="H266" sqref="H266"/>
    </sheetView>
  </sheetViews>
  <sheetFormatPr defaultColWidth="8.7109375" defaultRowHeight="12.75"/>
  <cols>
    <col min="1" max="1" width="17.7109375" style="0" customWidth="1"/>
    <col min="2" max="12" width="9.7109375" style="0" customWidth="1"/>
    <col min="13" max="13" width="10.7109375" style="0" customWidth="1"/>
    <col min="25" max="25" width="18.7109375" style="0" customWidth="1"/>
    <col min="78" max="78" width="1.7109375" style="0" customWidth="1"/>
    <col min="82" max="82" width="9.7109375" style="0" customWidth="1"/>
    <col min="84" max="84" width="13.7109375" style="0" customWidth="1"/>
    <col min="86" max="86" width="9.7109375" style="0" customWidth="1"/>
    <col min="104" max="104" width="1.7109375" style="0" customWidth="1"/>
    <col min="106" max="108" width="6.7109375" style="0" customWidth="1"/>
    <col min="116" max="116" width="9.7109375" style="0" customWidth="1"/>
    <col min="117" max="117" width="1.7109375" style="0" customWidth="1"/>
    <col min="130" max="130" width="1.7109375" style="0" customWidth="1"/>
    <col min="136" max="136" width="11.7109375" style="0" customWidth="1"/>
    <col min="137" max="137" width="6.7109375" style="0" customWidth="1"/>
    <col min="138" max="138" width="2.7109375" style="0" customWidth="1"/>
    <col min="139" max="139" width="5.7109375" style="0" customWidth="1"/>
    <col min="140" max="148" width="2.7109375" style="0" customWidth="1"/>
    <col min="151" max="151" width="1.7109375" style="0" customWidth="1"/>
    <col min="152" max="152" width="6.7109375" style="0" customWidth="1"/>
    <col min="153" max="159" width="2.7109375" style="0" customWidth="1"/>
    <col min="160" max="161" width="7.7109375" style="0" customWidth="1"/>
    <col min="162" max="170" width="2.7109375" style="0" customWidth="1"/>
    <col min="172" max="180" width="2.7109375" style="0" customWidth="1"/>
    <col min="185" max="195" width="4.7109375" style="0" customWidth="1"/>
    <col min="208" max="208" width="1.7109375" style="0" customWidth="1"/>
  </cols>
  <sheetData>
    <row r="1" spans="1:209" ht="15.7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AA1" s="8"/>
      <c r="CA1" s="9" t="s">
        <v>1</v>
      </c>
      <c r="CY1" s="10"/>
      <c r="DA1" s="9" t="s">
        <v>1</v>
      </c>
      <c r="EA1" s="9" t="s">
        <v>1</v>
      </c>
      <c r="HA1" s="9" t="s">
        <v>1</v>
      </c>
    </row>
    <row r="2" spans="1:217" ht="15.75">
      <c r="A2" s="6" t="s">
        <v>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CA2" s="10"/>
      <c r="CB2" s="10"/>
      <c r="CC2" s="10"/>
      <c r="CD2" s="10"/>
      <c r="CE2" s="10"/>
      <c r="CF2" s="10"/>
      <c r="CG2" s="10"/>
      <c r="CH2" s="10"/>
      <c r="CI2" s="10"/>
      <c r="CY2" s="10"/>
      <c r="EA2" s="11"/>
      <c r="HA2" s="10"/>
      <c r="HB2" s="10"/>
      <c r="HC2" s="10"/>
      <c r="HD2" s="10"/>
      <c r="HE2" s="10"/>
      <c r="HF2" s="10"/>
      <c r="HG2" s="10"/>
      <c r="HH2" s="10"/>
      <c r="HI2" s="10"/>
    </row>
    <row r="3" spans="1:217" ht="15.7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CA3" s="12" t="s">
        <v>3</v>
      </c>
      <c r="CB3" s="10"/>
      <c r="CC3" s="10"/>
      <c r="CD3" s="10" t="s">
        <v>4</v>
      </c>
      <c r="CE3" s="10"/>
      <c r="CF3" s="10"/>
      <c r="CG3" s="10"/>
      <c r="CH3" s="10"/>
      <c r="CI3" s="10"/>
      <c r="CY3" s="10"/>
      <c r="DA3" s="12" t="s">
        <v>5</v>
      </c>
      <c r="DB3" s="10"/>
      <c r="DC3" s="10"/>
      <c r="DD3" s="10" t="s">
        <v>6</v>
      </c>
      <c r="DE3" s="10"/>
      <c r="DF3" s="10"/>
      <c r="DG3" s="10"/>
      <c r="DH3" s="10"/>
      <c r="DI3" s="10"/>
      <c r="DJ3" s="10"/>
      <c r="DK3" s="10"/>
      <c r="DL3" s="10"/>
      <c r="DM3" s="10"/>
      <c r="EA3" s="12" t="s">
        <v>5</v>
      </c>
      <c r="EB3" s="10"/>
      <c r="EC3" s="10"/>
      <c r="ED3" s="10" t="s">
        <v>6</v>
      </c>
      <c r="EE3" s="10"/>
      <c r="EF3" s="10"/>
      <c r="EG3" s="10"/>
      <c r="EH3" s="10"/>
      <c r="EI3" s="10"/>
      <c r="EJ3" s="10"/>
      <c r="EK3" s="10"/>
      <c r="EL3" s="10"/>
      <c r="EM3" s="10"/>
      <c r="HA3" s="12" t="s">
        <v>7</v>
      </c>
      <c r="HB3" s="10"/>
      <c r="HC3" s="10"/>
      <c r="HD3" s="10" t="s">
        <v>8</v>
      </c>
      <c r="HE3" s="10"/>
      <c r="HF3" s="10"/>
      <c r="HG3" s="10"/>
      <c r="HH3" s="10"/>
      <c r="HI3" s="10"/>
    </row>
    <row r="4" spans="1:217" ht="15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CA4" s="10"/>
      <c r="CB4" s="10"/>
      <c r="CC4" s="10"/>
      <c r="CD4" s="10"/>
      <c r="CE4" s="10"/>
      <c r="CF4" s="10"/>
      <c r="CG4" s="10"/>
      <c r="CH4" s="10"/>
      <c r="CI4" s="10"/>
      <c r="CY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EA4" s="11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HA4" s="10"/>
      <c r="HB4" s="10"/>
      <c r="HC4" s="10"/>
      <c r="HD4" s="10"/>
      <c r="HE4" s="10"/>
      <c r="HF4" s="10"/>
      <c r="HG4" s="10"/>
      <c r="HH4" s="10"/>
      <c r="HI4" s="10"/>
    </row>
    <row r="5" spans="1:213" ht="15.75">
      <c r="A5" s="14" t="s">
        <v>9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CA5" s="11" t="s">
        <v>10</v>
      </c>
      <c r="CB5" s="10"/>
      <c r="CC5" s="10"/>
      <c r="CD5" s="10"/>
      <c r="CE5" s="10"/>
      <c r="CF5" s="10"/>
      <c r="CG5" s="10"/>
      <c r="CH5" s="10"/>
      <c r="CI5" s="10"/>
      <c r="CY5" s="10"/>
      <c r="DA5" s="11" t="s">
        <v>11</v>
      </c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EA5" s="11" t="s">
        <v>12</v>
      </c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FE5" t="s">
        <v>13</v>
      </c>
      <c r="FP5" t="s">
        <v>14</v>
      </c>
      <c r="HA5" s="11" t="s">
        <v>15</v>
      </c>
      <c r="HB5" s="10"/>
      <c r="HC5" s="10"/>
      <c r="HD5" s="10"/>
      <c r="HE5" s="10"/>
    </row>
    <row r="6" spans="1:213" ht="16.5" thickBo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CA6" s="10"/>
      <c r="CB6" s="10"/>
      <c r="CC6" s="10"/>
      <c r="CD6" s="10"/>
      <c r="CE6" s="10"/>
      <c r="CF6" s="10"/>
      <c r="CG6" s="10"/>
      <c r="CH6" s="10"/>
      <c r="CI6" s="10"/>
      <c r="CY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Y6" s="5" t="s">
        <v>16</v>
      </c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FZ6" s="5" t="s">
        <v>16</v>
      </c>
      <c r="GC6" s="15" t="s">
        <v>17</v>
      </c>
      <c r="GD6" s="15"/>
      <c r="GE6" s="13"/>
      <c r="GF6" s="13"/>
      <c r="GG6" s="13"/>
      <c r="GH6" s="13"/>
      <c r="GI6" s="13"/>
      <c r="GJ6" s="13"/>
      <c r="GK6" s="13"/>
      <c r="GL6" s="13"/>
      <c r="GM6" s="13"/>
      <c r="HA6" s="10"/>
      <c r="HB6" s="10"/>
      <c r="HC6" s="10"/>
      <c r="HD6" s="10"/>
      <c r="HE6" s="10"/>
    </row>
    <row r="7" spans="1:210" ht="12" customHeight="1" thickTop="1">
      <c r="A7" s="16" t="s">
        <v>18</v>
      </c>
      <c r="B7" s="17"/>
      <c r="C7" s="17"/>
      <c r="D7" s="18"/>
      <c r="E7" s="18" t="s">
        <v>19</v>
      </c>
      <c r="F7" s="18"/>
      <c r="G7" s="18"/>
      <c r="H7" s="18"/>
      <c r="I7" s="18"/>
      <c r="J7" s="18"/>
      <c r="K7" s="19"/>
      <c r="L7" s="7"/>
      <c r="M7" s="7"/>
      <c r="N7" s="7"/>
      <c r="O7" s="7"/>
      <c r="Z7" s="13"/>
      <c r="CA7" s="20"/>
      <c r="CB7" s="21"/>
      <c r="CC7" s="22" t="s">
        <v>20</v>
      </c>
      <c r="CD7" s="23"/>
      <c r="CE7" s="10"/>
      <c r="CF7" s="10"/>
      <c r="CG7" s="10"/>
      <c r="CH7" s="10"/>
      <c r="CI7" s="10"/>
      <c r="CY7" s="10"/>
      <c r="DA7" s="10"/>
      <c r="DB7" s="24" t="s">
        <v>21</v>
      </c>
      <c r="DC7" s="25" t="s">
        <v>22</v>
      </c>
      <c r="DD7" s="25" t="s">
        <v>23</v>
      </c>
      <c r="DE7" s="25" t="s">
        <v>24</v>
      </c>
      <c r="DF7" s="25" t="s">
        <v>25</v>
      </c>
      <c r="DG7" s="25" t="s">
        <v>26</v>
      </c>
      <c r="DH7" s="25" t="s">
        <v>27</v>
      </c>
      <c r="DI7" s="25" t="s">
        <v>28</v>
      </c>
      <c r="DJ7" s="25" t="s">
        <v>29</v>
      </c>
      <c r="DK7" s="25" t="s">
        <v>30</v>
      </c>
      <c r="DL7" s="26" t="s">
        <v>31</v>
      </c>
      <c r="DM7" s="10"/>
      <c r="DY7" s="5" t="s">
        <v>32</v>
      </c>
      <c r="EA7" s="10"/>
      <c r="EB7" s="24" t="s">
        <v>21</v>
      </c>
      <c r="EC7" s="25" t="s">
        <v>22</v>
      </c>
      <c r="ED7" s="25" t="s">
        <v>26</v>
      </c>
      <c r="EE7" s="25" t="s">
        <v>27</v>
      </c>
      <c r="EF7" s="25" t="s">
        <v>33</v>
      </c>
      <c r="EG7" s="26" t="s">
        <v>34</v>
      </c>
      <c r="EI7" s="27"/>
      <c r="EJ7" s="21"/>
      <c r="EK7" s="22"/>
      <c r="EL7" s="22"/>
      <c r="EM7" s="22"/>
      <c r="EN7" s="28" t="s">
        <v>22</v>
      </c>
      <c r="EO7" s="22"/>
      <c r="EP7" s="22"/>
      <c r="EQ7" s="22"/>
      <c r="ER7" s="23"/>
      <c r="ES7" s="10"/>
      <c r="ET7" s="10"/>
      <c r="EU7" s="10"/>
      <c r="FE7" t="s">
        <v>35</v>
      </c>
      <c r="FP7" t="s">
        <v>36</v>
      </c>
      <c r="FZ7" s="5" t="s">
        <v>32</v>
      </c>
      <c r="GC7" s="13"/>
      <c r="GD7" s="13"/>
      <c r="GE7" s="13"/>
      <c r="GF7" s="13"/>
      <c r="GG7" s="13"/>
      <c r="GH7" s="13" t="s">
        <v>37</v>
      </c>
      <c r="GI7" s="13"/>
      <c r="GJ7" s="13"/>
      <c r="GK7" s="13"/>
      <c r="GL7" s="13"/>
      <c r="GM7" s="13"/>
      <c r="HA7" s="29" t="s">
        <v>38</v>
      </c>
      <c r="HB7" s="30">
        <f>$V$20</f>
        <v>2.217241161732642</v>
      </c>
    </row>
    <row r="8" spans="1:195" ht="12" customHeight="1" thickBot="1">
      <c r="A8" s="31" t="s">
        <v>39</v>
      </c>
      <c r="B8" s="32">
        <v>1</v>
      </c>
      <c r="C8" s="32">
        <v>2</v>
      </c>
      <c r="D8" s="32">
        <v>3</v>
      </c>
      <c r="E8" s="32">
        <v>4</v>
      </c>
      <c r="F8" s="32">
        <v>5</v>
      </c>
      <c r="G8" s="32">
        <v>6</v>
      </c>
      <c r="H8" s="32">
        <v>7</v>
      </c>
      <c r="I8" s="32">
        <v>8</v>
      </c>
      <c r="J8" s="32">
        <v>9</v>
      </c>
      <c r="K8" s="33">
        <v>10</v>
      </c>
      <c r="L8" s="7"/>
      <c r="M8" s="34" t="s">
        <v>40</v>
      </c>
      <c r="N8" s="34" t="s">
        <v>41</v>
      </c>
      <c r="O8" s="34" t="s">
        <v>42</v>
      </c>
      <c r="Z8" s="13"/>
      <c r="CA8" s="35" t="s">
        <v>21</v>
      </c>
      <c r="CB8" s="36" t="s">
        <v>43</v>
      </c>
      <c r="CC8" s="36" t="s">
        <v>44</v>
      </c>
      <c r="CD8" s="37" t="s">
        <v>45</v>
      </c>
      <c r="CE8" s="10"/>
      <c r="CF8" s="10"/>
      <c r="CG8" s="10"/>
      <c r="CH8" s="10"/>
      <c r="CI8" s="10"/>
      <c r="CY8" s="10"/>
      <c r="DA8" s="10"/>
      <c r="DB8" s="38" t="s">
        <v>46</v>
      </c>
      <c r="DC8" s="36" t="s">
        <v>47</v>
      </c>
      <c r="DD8" s="36" t="s">
        <v>48</v>
      </c>
      <c r="DE8" s="36" t="s">
        <v>49</v>
      </c>
      <c r="DF8" s="36" t="s">
        <v>50</v>
      </c>
      <c r="DG8" s="36" t="s">
        <v>51</v>
      </c>
      <c r="DH8" s="36" t="s">
        <v>52</v>
      </c>
      <c r="DI8" s="36" t="s">
        <v>53</v>
      </c>
      <c r="DJ8" s="36" t="s">
        <v>54</v>
      </c>
      <c r="DK8" s="36" t="s">
        <v>55</v>
      </c>
      <c r="DL8" s="39" t="s">
        <v>56</v>
      </c>
      <c r="DM8" s="10"/>
      <c r="EA8" s="10"/>
      <c r="EB8" s="38" t="s">
        <v>46</v>
      </c>
      <c r="EC8" s="36" t="s">
        <v>47</v>
      </c>
      <c r="ED8" s="36" t="s">
        <v>48</v>
      </c>
      <c r="EE8" s="36" t="s">
        <v>49</v>
      </c>
      <c r="EF8" s="36" t="s">
        <v>50</v>
      </c>
      <c r="EG8" s="39" t="s">
        <v>52</v>
      </c>
      <c r="EI8" s="40" t="s">
        <v>21</v>
      </c>
      <c r="EJ8" s="41">
        <v>1</v>
      </c>
      <c r="EK8" s="41">
        <v>2</v>
      </c>
      <c r="EL8" s="41">
        <v>3</v>
      </c>
      <c r="EM8" s="41">
        <v>4</v>
      </c>
      <c r="EN8" s="41">
        <v>5</v>
      </c>
      <c r="EO8" s="41">
        <v>6</v>
      </c>
      <c r="EP8" s="41">
        <v>7</v>
      </c>
      <c r="EQ8" s="41">
        <v>8</v>
      </c>
      <c r="ER8" s="42">
        <v>9</v>
      </c>
      <c r="ES8" s="43"/>
      <c r="ET8" s="10"/>
      <c r="EU8" s="10"/>
      <c r="FE8" s="1">
        <v>1</v>
      </c>
      <c r="FF8" s="1">
        <v>2</v>
      </c>
      <c r="FG8" s="1">
        <v>3</v>
      </c>
      <c r="FH8" s="1">
        <v>4</v>
      </c>
      <c r="FI8" s="1">
        <v>5</v>
      </c>
      <c r="FJ8" s="1">
        <v>6</v>
      </c>
      <c r="FK8" s="1">
        <v>7</v>
      </c>
      <c r="FL8" s="1">
        <v>8</v>
      </c>
      <c r="FM8" s="1">
        <v>9</v>
      </c>
      <c r="FP8" s="1">
        <v>1</v>
      </c>
      <c r="FQ8" s="1">
        <v>2</v>
      </c>
      <c r="FR8" s="1">
        <v>3</v>
      </c>
      <c r="FS8" s="1">
        <v>4</v>
      </c>
      <c r="FT8" s="1">
        <v>5</v>
      </c>
      <c r="FU8" s="1">
        <v>6</v>
      </c>
      <c r="FV8" s="1">
        <v>7</v>
      </c>
      <c r="FW8" s="1">
        <v>8</v>
      </c>
      <c r="FX8" s="1">
        <v>9</v>
      </c>
      <c r="GB8" s="44" t="s">
        <v>57</v>
      </c>
      <c r="GC8" s="13">
        <v>0</v>
      </c>
      <c r="GD8" s="8">
        <v>1</v>
      </c>
      <c r="GE8" s="8">
        <v>2</v>
      </c>
      <c r="GF8" s="8">
        <v>3</v>
      </c>
      <c r="GG8" s="8">
        <v>4</v>
      </c>
      <c r="GH8" s="8">
        <v>5</v>
      </c>
      <c r="GI8" s="8">
        <v>6</v>
      </c>
      <c r="GJ8" s="8">
        <v>7</v>
      </c>
      <c r="GK8" s="8">
        <v>8</v>
      </c>
      <c r="GL8" s="8">
        <v>9</v>
      </c>
      <c r="GM8" s="13">
        <v>10</v>
      </c>
    </row>
    <row r="9" spans="1:213" ht="12" customHeight="1" thickBot="1" thickTop="1">
      <c r="A9" s="45">
        <v>1</v>
      </c>
      <c r="B9" s="46">
        <v>5012</v>
      </c>
      <c r="C9" s="47">
        <v>8269</v>
      </c>
      <c r="D9" s="47">
        <v>10907</v>
      </c>
      <c r="E9" s="47">
        <v>11805</v>
      </c>
      <c r="F9" s="47">
        <v>13539</v>
      </c>
      <c r="G9" s="47">
        <v>16181</v>
      </c>
      <c r="H9" s="47">
        <v>18009</v>
      </c>
      <c r="I9" s="47">
        <v>18608</v>
      </c>
      <c r="J9" s="47">
        <v>18662</v>
      </c>
      <c r="K9" s="48">
        <v>18834</v>
      </c>
      <c r="L9" s="7"/>
      <c r="M9" s="49" t="s">
        <v>58</v>
      </c>
      <c r="N9" s="50" t="s">
        <v>58</v>
      </c>
      <c r="O9" s="50" t="s">
        <v>58</v>
      </c>
      <c r="R9">
        <f aca="true" t="shared" si="0" ref="R9:R17">C9/B9</f>
        <v>1.6498403830806065</v>
      </c>
      <c r="V9">
        <f aca="true" t="shared" si="1" ref="V9:V18">B9*C9</f>
        <v>41444228</v>
      </c>
      <c r="W9">
        <f aca="true" t="shared" si="2" ref="W9:W18">B9^2</f>
        <v>25120144</v>
      </c>
      <c r="Z9" s="13"/>
      <c r="CA9" s="51">
        <v>1</v>
      </c>
      <c r="CB9" s="52">
        <f aca="true" t="shared" si="3" ref="CB9:CB17">B9</f>
        <v>5012</v>
      </c>
      <c r="CC9" s="52">
        <f aca="true" t="shared" si="4" ref="CC9:CC17">C9</f>
        <v>8269</v>
      </c>
      <c r="CD9" s="53">
        <f aca="true" t="shared" si="5" ref="CD9:CD17">CC9-CB9</f>
        <v>3257</v>
      </c>
      <c r="CE9" s="10"/>
      <c r="CF9" s="10"/>
      <c r="CG9" s="10"/>
      <c r="CH9" s="10"/>
      <c r="CI9" s="10"/>
      <c r="CY9" s="10"/>
      <c r="DA9" s="10"/>
      <c r="DB9" s="51">
        <v>1</v>
      </c>
      <c r="DC9" s="54">
        <v>1</v>
      </c>
      <c r="DD9" s="54">
        <f aca="true" t="shared" si="6" ref="DD9:DD53">DB9+DC9</f>
        <v>2</v>
      </c>
      <c r="DE9" s="55">
        <f aca="true" t="shared" si="7" ref="DE9:DE53">VLOOKUP(1,$A$22:$J$22,$DC9+1)</f>
        <v>2.9993586513353794</v>
      </c>
      <c r="DF9" s="55">
        <f aca="true" t="shared" si="8" ref="DF9:DF53">(VLOOKUP(1,$A$47:$J$47,$DC9+1))^0.5</f>
        <v>166.9834704216068</v>
      </c>
      <c r="DG9" s="52">
        <f aca="true" t="shared" si="9" ref="DG9:DG53">VLOOKUP(DB9,$A$9:$K$18,DC9+1)</f>
        <v>5012</v>
      </c>
      <c r="DH9" s="52">
        <f aca="true" t="shared" si="10" ref="DH9:DH53">VLOOKUP(DB9,$A$9:$K$18,DC9+1+1)</f>
        <v>8269</v>
      </c>
      <c r="DI9" s="52">
        <f aca="true" t="shared" si="11" ref="DI9:DI53">DG9*DE9</f>
        <v>15032.785560492921</v>
      </c>
      <c r="DJ9" s="52">
        <f aca="true" t="shared" si="12" ref="DJ9:DJ53">DH9-DI9</f>
        <v>-6763.785560492921</v>
      </c>
      <c r="DK9" s="52">
        <f aca="true" t="shared" si="13" ref="DK9:DK53">DG9^0.5</f>
        <v>70.79548008171143</v>
      </c>
      <c r="DL9" s="56">
        <f aca="true" t="shared" si="14" ref="DL9:DL53">DJ9/DK9/DF9</f>
        <v>-0.5721512041815494</v>
      </c>
      <c r="DM9" s="10"/>
      <c r="DY9">
        <f aca="true" t="shared" si="15" ref="DY9:DY53">EC9*1000000+EB9</f>
        <v>1000001</v>
      </c>
      <c r="EA9" s="10"/>
      <c r="EB9" s="51">
        <v>1</v>
      </c>
      <c r="EC9" s="54">
        <v>1</v>
      </c>
      <c r="ED9" s="52">
        <f aca="true" t="shared" si="16" ref="ED9:ED53">DG9</f>
        <v>5012</v>
      </c>
      <c r="EE9" s="52">
        <f aca="true" t="shared" si="17" ref="EE9:EE53">DH9</f>
        <v>8269</v>
      </c>
      <c r="EF9" s="55">
        <f aca="true" t="shared" si="18" ref="EF9:EF53">EE9/ED9</f>
        <v>1.6498403830806065</v>
      </c>
      <c r="EG9" s="57" t="s">
        <v>13</v>
      </c>
      <c r="EI9" s="58">
        <v>1</v>
      </c>
      <c r="EJ9" s="52" t="str">
        <f aca="true" t="shared" si="19" ref="EJ9:ER9">VLOOKUP(EJ$8*1000000+$EI9,$DY$9:$EG$53,9)</f>
        <v>S</v>
      </c>
      <c r="EK9" s="52" t="str">
        <f t="shared" si="19"/>
        <v>S</v>
      </c>
      <c r="EL9" s="52" t="str">
        <f t="shared" si="19"/>
        <v>S</v>
      </c>
      <c r="EM9" s="52" t="str">
        <f t="shared" si="19"/>
        <v>S</v>
      </c>
      <c r="EN9" s="52" t="str">
        <f t="shared" si="19"/>
        <v>L</v>
      </c>
      <c r="EO9" s="52" t="str">
        <f t="shared" si="19"/>
        <v>L</v>
      </c>
      <c r="EP9" s="52" t="str">
        <f t="shared" si="19"/>
        <v>M</v>
      </c>
      <c r="EQ9" s="52" t="str">
        <f t="shared" si="19"/>
        <v>S</v>
      </c>
      <c r="ER9" s="57" t="str">
        <f t="shared" si="19"/>
        <v>M</v>
      </c>
      <c r="ES9" s="59"/>
      <c r="ET9" s="10"/>
      <c r="EU9" s="10"/>
      <c r="EY9" s="60" t="e">
        <f>IF(EX9&gt;$EA$84,"L",IF(EX9&lt;$EA$84,"S","M"))</f>
        <v>#VALUE!</v>
      </c>
      <c r="FD9" s="1">
        <v>1922</v>
      </c>
      <c r="FE9">
        <f aca="true" t="shared" si="20" ref="FE9:FM9">IF(EJ9=$FE$5,1,0)</f>
        <v>1</v>
      </c>
      <c r="FF9">
        <f t="shared" si="20"/>
        <v>1</v>
      </c>
      <c r="FG9">
        <f t="shared" si="20"/>
        <v>1</v>
      </c>
      <c r="FH9">
        <f t="shared" si="20"/>
        <v>1</v>
      </c>
      <c r="FI9">
        <f t="shared" si="20"/>
        <v>0</v>
      </c>
      <c r="FJ9">
        <f t="shared" si="20"/>
        <v>0</v>
      </c>
      <c r="FK9">
        <f t="shared" si="20"/>
        <v>0</v>
      </c>
      <c r="FL9">
        <f t="shared" si="20"/>
        <v>1</v>
      </c>
      <c r="FM9">
        <f t="shared" si="20"/>
        <v>0</v>
      </c>
      <c r="FO9" s="1">
        <v>1922</v>
      </c>
      <c r="FP9">
        <f aca="true" t="shared" si="21" ref="FP9:FX9">IF(EJ9=$FP$5,1,0)</f>
        <v>0</v>
      </c>
      <c r="FQ9">
        <f t="shared" si="21"/>
        <v>0</v>
      </c>
      <c r="FR9">
        <f t="shared" si="21"/>
        <v>0</v>
      </c>
      <c r="FS9">
        <f t="shared" si="21"/>
        <v>0</v>
      </c>
      <c r="FT9">
        <f t="shared" si="21"/>
        <v>1</v>
      </c>
      <c r="FU9">
        <f t="shared" si="21"/>
        <v>1</v>
      </c>
      <c r="FV9">
        <f t="shared" si="21"/>
        <v>0</v>
      </c>
      <c r="FW9">
        <f t="shared" si="21"/>
        <v>0</v>
      </c>
      <c r="FX9">
        <f t="shared" si="21"/>
        <v>0</v>
      </c>
      <c r="FZ9">
        <v>0</v>
      </c>
      <c r="GA9">
        <v>1</v>
      </c>
      <c r="GB9" s="13">
        <v>0</v>
      </c>
      <c r="GC9">
        <v>1</v>
      </c>
      <c r="HA9" s="20"/>
      <c r="HB9" s="21"/>
      <c r="HC9" s="22" t="s">
        <v>20</v>
      </c>
      <c r="HD9" s="23"/>
      <c r="HE9" s="10"/>
    </row>
    <row r="10" spans="1:213" ht="12" customHeight="1" thickBot="1" thickTop="1">
      <c r="A10" s="45">
        <v>2</v>
      </c>
      <c r="B10" s="47">
        <v>106</v>
      </c>
      <c r="C10" s="47">
        <v>4285</v>
      </c>
      <c r="D10" s="47">
        <v>5396</v>
      </c>
      <c r="E10" s="47">
        <v>10666</v>
      </c>
      <c r="F10" s="47">
        <v>13782</v>
      </c>
      <c r="G10" s="47">
        <v>15599</v>
      </c>
      <c r="H10" s="47">
        <v>15496</v>
      </c>
      <c r="I10" s="47">
        <v>16169</v>
      </c>
      <c r="J10" s="48">
        <v>16704</v>
      </c>
      <c r="K10" s="61">
        <f aca="true" t="shared" si="22" ref="K10:K18">J10*J$22</f>
        <v>16857.95391705069</v>
      </c>
      <c r="L10" s="7"/>
      <c r="M10" s="62">
        <f>K10-J10</f>
        <v>153.9539170506905</v>
      </c>
      <c r="N10" s="62">
        <f aca="true" t="shared" si="23" ref="N10:N18">L63</f>
        <v>206.220059401112</v>
      </c>
      <c r="O10" s="63">
        <f aca="true" t="shared" si="24" ref="O10:O18">N10/M10</f>
        <v>1.3394921243427178</v>
      </c>
      <c r="R10">
        <f t="shared" si="0"/>
        <v>40.424528301886795</v>
      </c>
      <c r="V10">
        <f t="shared" si="1"/>
        <v>454210</v>
      </c>
      <c r="W10">
        <f t="shared" si="2"/>
        <v>11236</v>
      </c>
      <c r="Z10" s="13"/>
      <c r="CA10" s="51">
        <v>2</v>
      </c>
      <c r="CB10" s="52">
        <f t="shared" si="3"/>
        <v>106</v>
      </c>
      <c r="CC10" s="52">
        <f t="shared" si="4"/>
        <v>4285</v>
      </c>
      <c r="CD10" s="53">
        <f t="shared" si="5"/>
        <v>4179</v>
      </c>
      <c r="CE10" s="10"/>
      <c r="CF10" s="10"/>
      <c r="CG10" s="10"/>
      <c r="CH10" s="64"/>
      <c r="CI10" s="10"/>
      <c r="CJ10" s="3"/>
      <c r="CY10" s="10"/>
      <c r="DA10" s="10"/>
      <c r="DB10" s="51">
        <v>2</v>
      </c>
      <c r="DC10" s="54">
        <v>1</v>
      </c>
      <c r="DD10" s="54">
        <f t="shared" si="6"/>
        <v>3</v>
      </c>
      <c r="DE10" s="55">
        <f t="shared" si="7"/>
        <v>2.9993586513353794</v>
      </c>
      <c r="DF10" s="55">
        <f t="shared" si="8"/>
        <v>166.9834704216068</v>
      </c>
      <c r="DG10" s="52">
        <f t="shared" si="9"/>
        <v>106</v>
      </c>
      <c r="DH10" s="52">
        <f t="shared" si="10"/>
        <v>4285</v>
      </c>
      <c r="DI10" s="52">
        <f t="shared" si="11"/>
        <v>317.93201704155024</v>
      </c>
      <c r="DJ10" s="52">
        <f t="shared" si="12"/>
        <v>3967.0679829584496</v>
      </c>
      <c r="DK10" s="52">
        <f t="shared" si="13"/>
        <v>10.295630140987</v>
      </c>
      <c r="DL10" s="56">
        <f t="shared" si="14"/>
        <v>2.3075080647977186</v>
      </c>
      <c r="DM10" s="10"/>
      <c r="DY10">
        <f t="shared" si="15"/>
        <v>1000002</v>
      </c>
      <c r="EA10" s="10"/>
      <c r="EB10" s="51">
        <v>2</v>
      </c>
      <c r="EC10" s="54">
        <v>1</v>
      </c>
      <c r="ED10" s="52">
        <f t="shared" si="16"/>
        <v>106</v>
      </c>
      <c r="EE10" s="52">
        <f t="shared" si="17"/>
        <v>4285</v>
      </c>
      <c r="EF10" s="55">
        <f t="shared" si="18"/>
        <v>40.424528301886795</v>
      </c>
      <c r="EG10" s="57" t="s">
        <v>14</v>
      </c>
      <c r="EI10" s="58">
        <v>2</v>
      </c>
      <c r="EJ10" s="52" t="str">
        <f aca="true" t="shared" si="25" ref="EJ10:EQ10">VLOOKUP(EJ$8*1000000+$EI10,$DY$9:$EG$53,9)</f>
        <v>L</v>
      </c>
      <c r="EK10" s="52" t="str">
        <f t="shared" si="25"/>
        <v>S</v>
      </c>
      <c r="EL10" s="52" t="str">
        <f t="shared" si="25"/>
        <v>L</v>
      </c>
      <c r="EM10" s="52" t="str">
        <f t="shared" si="25"/>
        <v>L</v>
      </c>
      <c r="EN10" s="52" t="str">
        <f t="shared" si="25"/>
        <v>M</v>
      </c>
      <c r="EO10" s="52" t="str">
        <f t="shared" si="25"/>
        <v>S</v>
      </c>
      <c r="EP10" s="52" t="str">
        <f t="shared" si="25"/>
        <v>L</v>
      </c>
      <c r="EQ10" s="52" t="str">
        <f t="shared" si="25"/>
        <v>L</v>
      </c>
      <c r="ER10" s="57"/>
      <c r="ES10" s="60"/>
      <c r="ET10" s="10"/>
      <c r="EU10" s="10"/>
      <c r="FD10" s="1">
        <v>1923</v>
      </c>
      <c r="FE10">
        <f aca="true" t="shared" si="26" ref="FE10:FL10">IF(EJ10=$FE$5,1,0)</f>
        <v>0</v>
      </c>
      <c r="FF10">
        <f t="shared" si="26"/>
        <v>1</v>
      </c>
      <c r="FG10">
        <f t="shared" si="26"/>
        <v>0</v>
      </c>
      <c r="FH10">
        <f t="shared" si="26"/>
        <v>0</v>
      </c>
      <c r="FI10">
        <f t="shared" si="26"/>
        <v>0</v>
      </c>
      <c r="FJ10">
        <f t="shared" si="26"/>
        <v>1</v>
      </c>
      <c r="FK10">
        <f t="shared" si="26"/>
        <v>0</v>
      </c>
      <c r="FL10">
        <f t="shared" si="26"/>
        <v>0</v>
      </c>
      <c r="FO10" s="1">
        <v>1923</v>
      </c>
      <c r="FP10">
        <f aca="true" t="shared" si="27" ref="FP10:FW10">IF(EJ10=$FP$5,1,0)</f>
        <v>1</v>
      </c>
      <c r="FQ10">
        <f t="shared" si="27"/>
        <v>0</v>
      </c>
      <c r="FR10">
        <f t="shared" si="27"/>
        <v>1</v>
      </c>
      <c r="FS10">
        <f t="shared" si="27"/>
        <v>1</v>
      </c>
      <c r="FT10">
        <f t="shared" si="27"/>
        <v>0</v>
      </c>
      <c r="FU10">
        <f t="shared" si="27"/>
        <v>0</v>
      </c>
      <c r="FV10">
        <f t="shared" si="27"/>
        <v>1</v>
      </c>
      <c r="FW10">
        <f t="shared" si="27"/>
        <v>1</v>
      </c>
      <c r="FZ10">
        <f aca="true" t="shared" si="28" ref="FZ10:FZ19">GB10</f>
        <v>1</v>
      </c>
      <c r="GA10">
        <v>1</v>
      </c>
      <c r="GB10" s="8">
        <v>1</v>
      </c>
      <c r="GC10">
        <v>1</v>
      </c>
      <c r="GD10">
        <f aca="true" t="shared" si="29" ref="GD10:GD19">VLOOKUP($GB10,$FZ$9:$GA$19,2)/VLOOKUP(GD$8,$FZ$9:$GA$19,2)/VLOOKUP($GB10-GD$8,$FZ$9:$GA$19,2)</f>
        <v>1</v>
      </c>
      <c r="HA10" s="35" t="s">
        <v>21</v>
      </c>
      <c r="HB10" s="36" t="s">
        <v>43</v>
      </c>
      <c r="HC10" s="36" t="s">
        <v>44</v>
      </c>
      <c r="HD10" s="37" t="s">
        <v>59</v>
      </c>
      <c r="HE10" s="10"/>
    </row>
    <row r="11" spans="1:213" ht="12" customHeight="1" thickBot="1" thickTop="1">
      <c r="A11" s="45">
        <v>3</v>
      </c>
      <c r="B11" s="47">
        <v>3410</v>
      </c>
      <c r="C11" s="47">
        <v>8992</v>
      </c>
      <c r="D11" s="47">
        <v>13873</v>
      </c>
      <c r="E11" s="47">
        <v>16141</v>
      </c>
      <c r="F11" s="47">
        <v>18735</v>
      </c>
      <c r="G11" s="47">
        <v>22214</v>
      </c>
      <c r="H11" s="47">
        <v>22863</v>
      </c>
      <c r="I11" s="48">
        <v>23466</v>
      </c>
      <c r="J11" s="65">
        <f aca="true" t="shared" si="30" ref="J11:J18">I11*I$22</f>
        <v>23863.43146332346</v>
      </c>
      <c r="K11" s="61">
        <f t="shared" si="22"/>
        <v>24083.37092381492</v>
      </c>
      <c r="L11" s="7"/>
      <c r="M11" s="62">
        <f>K11-I11</f>
        <v>617.3709238149204</v>
      </c>
      <c r="N11" s="62">
        <f t="shared" si="23"/>
        <v>623.376672631965</v>
      </c>
      <c r="O11" s="63">
        <f t="shared" si="24"/>
        <v>1.009727942449789</v>
      </c>
      <c r="R11">
        <f t="shared" si="0"/>
        <v>2.6369501466275658</v>
      </c>
      <c r="V11">
        <f t="shared" si="1"/>
        <v>30662720</v>
      </c>
      <c r="W11">
        <f t="shared" si="2"/>
        <v>11628100</v>
      </c>
      <c r="Z11" s="13"/>
      <c r="BX11" t="s">
        <v>60</v>
      </c>
      <c r="CA11" s="51">
        <v>3</v>
      </c>
      <c r="CB11" s="52">
        <f t="shared" si="3"/>
        <v>3410</v>
      </c>
      <c r="CC11" s="52">
        <f t="shared" si="4"/>
        <v>8992</v>
      </c>
      <c r="CD11" s="53">
        <f t="shared" si="5"/>
        <v>5582</v>
      </c>
      <c r="CE11" s="10"/>
      <c r="CF11" s="10"/>
      <c r="CG11" s="10"/>
      <c r="CH11" s="64"/>
      <c r="CI11" s="10"/>
      <c r="CJ11" s="3"/>
      <c r="CY11" s="10"/>
      <c r="DA11" s="10"/>
      <c r="DB11" s="51">
        <v>3</v>
      </c>
      <c r="DC11" s="54">
        <v>1</v>
      </c>
      <c r="DD11" s="54">
        <f t="shared" si="6"/>
        <v>4</v>
      </c>
      <c r="DE11" s="55">
        <f t="shared" si="7"/>
        <v>2.9993586513353794</v>
      </c>
      <c r="DF11" s="55">
        <f t="shared" si="8"/>
        <v>166.9834704216068</v>
      </c>
      <c r="DG11" s="52">
        <f t="shared" si="9"/>
        <v>3410</v>
      </c>
      <c r="DH11" s="52">
        <f t="shared" si="10"/>
        <v>8992</v>
      </c>
      <c r="DI11" s="52">
        <f t="shared" si="11"/>
        <v>10227.813001053644</v>
      </c>
      <c r="DJ11" s="52">
        <f t="shared" si="12"/>
        <v>-1235.8130010536443</v>
      </c>
      <c r="DK11" s="52">
        <f t="shared" si="13"/>
        <v>58.39520528262573</v>
      </c>
      <c r="DL11" s="56">
        <f t="shared" si="14"/>
        <v>-0.126736610367177</v>
      </c>
      <c r="DM11" s="10"/>
      <c r="DY11">
        <f t="shared" si="15"/>
        <v>1000003</v>
      </c>
      <c r="EA11" s="10"/>
      <c r="EB11" s="51">
        <v>3</v>
      </c>
      <c r="EC11" s="54">
        <v>1</v>
      </c>
      <c r="ED11" s="52">
        <f t="shared" si="16"/>
        <v>3410</v>
      </c>
      <c r="EE11" s="52">
        <f t="shared" si="17"/>
        <v>8992</v>
      </c>
      <c r="EF11" s="55">
        <f t="shared" si="18"/>
        <v>2.6369501466275658</v>
      </c>
      <c r="EG11" s="57" t="s">
        <v>13</v>
      </c>
      <c r="EI11" s="58">
        <v>3</v>
      </c>
      <c r="EJ11" s="52" t="str">
        <f aca="true" t="shared" si="31" ref="EJ11:EP11">VLOOKUP(EJ$8*1000000+$EI11,$DY$9:$EG$53,9)</f>
        <v>S</v>
      </c>
      <c r="EK11" s="52" t="str">
        <f t="shared" si="31"/>
        <v>S</v>
      </c>
      <c r="EL11" s="52" t="str">
        <f t="shared" si="31"/>
        <v>M</v>
      </c>
      <c r="EM11" s="52" t="str">
        <f t="shared" si="31"/>
        <v>S</v>
      </c>
      <c r="EN11" s="52" t="str">
        <f t="shared" si="31"/>
        <v>L</v>
      </c>
      <c r="EO11" s="52" t="str">
        <f t="shared" si="31"/>
        <v>S</v>
      </c>
      <c r="EP11" s="52" t="str">
        <f t="shared" si="31"/>
        <v>S</v>
      </c>
      <c r="EQ11" s="52"/>
      <c r="ER11" s="57"/>
      <c r="ES11" s="60"/>
      <c r="ET11" s="10"/>
      <c r="EU11" s="10"/>
      <c r="FD11" s="1">
        <v>1924</v>
      </c>
      <c r="FE11">
        <f aca="true" t="shared" si="32" ref="FE11:FK11">IF(EJ11=$FE$5,1,0)</f>
        <v>1</v>
      </c>
      <c r="FF11">
        <f t="shared" si="32"/>
        <v>1</v>
      </c>
      <c r="FG11">
        <f t="shared" si="32"/>
        <v>0</v>
      </c>
      <c r="FH11">
        <f t="shared" si="32"/>
        <v>1</v>
      </c>
      <c r="FI11">
        <f t="shared" si="32"/>
        <v>0</v>
      </c>
      <c r="FJ11">
        <f t="shared" si="32"/>
        <v>1</v>
      </c>
      <c r="FK11">
        <f t="shared" si="32"/>
        <v>1</v>
      </c>
      <c r="FO11" s="1">
        <v>1924</v>
      </c>
      <c r="FP11">
        <f aca="true" t="shared" si="33" ref="FP11:FV11">IF(EJ11=$FP$5,1,0)</f>
        <v>0</v>
      </c>
      <c r="FQ11">
        <f t="shared" si="33"/>
        <v>0</v>
      </c>
      <c r="FR11">
        <f t="shared" si="33"/>
        <v>0</v>
      </c>
      <c r="FS11">
        <f t="shared" si="33"/>
        <v>0</v>
      </c>
      <c r="FT11">
        <f t="shared" si="33"/>
        <v>1</v>
      </c>
      <c r="FU11">
        <f t="shared" si="33"/>
        <v>0</v>
      </c>
      <c r="FV11">
        <f t="shared" si="33"/>
        <v>0</v>
      </c>
      <c r="FZ11">
        <f t="shared" si="28"/>
        <v>2</v>
      </c>
      <c r="GA11">
        <f>GB11*GB10</f>
        <v>2</v>
      </c>
      <c r="GB11" s="8">
        <v>2</v>
      </c>
      <c r="GC11">
        <v>1</v>
      </c>
      <c r="GD11">
        <f t="shared" si="29"/>
        <v>2</v>
      </c>
      <c r="GE11">
        <f aca="true" t="shared" si="34" ref="GE11:GE19">VLOOKUP($GB11,$FZ$9:$GA$19,2)/VLOOKUP(GE$8,$FZ$9:$GA$19,2)/VLOOKUP($GB11-GE$8,$FZ$9:$GA$19,2)</f>
        <v>1</v>
      </c>
      <c r="GY11" t="s">
        <v>61</v>
      </c>
      <c r="HA11" s="51">
        <v>1</v>
      </c>
      <c r="HB11" s="52">
        <f aca="true" t="shared" si="35" ref="HB11:HB19">CB9</f>
        <v>5012</v>
      </c>
      <c r="HC11" s="52">
        <f aca="true" t="shared" si="36" ref="HC11:HC19">CC9</f>
        <v>8269</v>
      </c>
      <c r="HD11" s="53">
        <f aca="true" t="shared" si="37" ref="HD11:HD19">HC11-HB11*$HB$7</f>
        <v>-2843.812702604002</v>
      </c>
      <c r="HE11" s="10"/>
    </row>
    <row r="12" spans="1:213" ht="12" customHeight="1" thickBot="1" thickTop="1">
      <c r="A12" s="45">
        <v>4</v>
      </c>
      <c r="B12" s="47">
        <v>5655</v>
      </c>
      <c r="C12" s="47">
        <v>11555</v>
      </c>
      <c r="D12" s="47">
        <v>15766</v>
      </c>
      <c r="E12" s="47">
        <v>21266</v>
      </c>
      <c r="F12" s="47">
        <v>23425</v>
      </c>
      <c r="G12" s="47">
        <v>26083</v>
      </c>
      <c r="H12" s="48">
        <v>27067</v>
      </c>
      <c r="I12" s="65">
        <f aca="true" t="shared" si="38" ref="I12:I18">H12*H$22</f>
        <v>27967.344610417254</v>
      </c>
      <c r="J12" s="65">
        <f t="shared" si="30"/>
        <v>28441.013011243544</v>
      </c>
      <c r="K12" s="61">
        <f t="shared" si="22"/>
        <v>28703.142163420904</v>
      </c>
      <c r="L12" s="7"/>
      <c r="M12" s="62">
        <f>K12-H12</f>
        <v>1636.1421634209037</v>
      </c>
      <c r="N12" s="62">
        <f t="shared" si="23"/>
        <v>747.1752250814905</v>
      </c>
      <c r="O12" s="63">
        <f t="shared" si="24"/>
        <v>0.4566688896515387</v>
      </c>
      <c r="R12">
        <f t="shared" si="0"/>
        <v>2.0433244916003535</v>
      </c>
      <c r="V12">
        <f t="shared" si="1"/>
        <v>65343525</v>
      </c>
      <c r="W12">
        <f t="shared" si="2"/>
        <v>31979025</v>
      </c>
      <c r="Z12" s="13"/>
      <c r="CA12" s="51">
        <v>4</v>
      </c>
      <c r="CB12" s="52">
        <f t="shared" si="3"/>
        <v>5655</v>
      </c>
      <c r="CC12" s="52">
        <f t="shared" si="4"/>
        <v>11555</v>
      </c>
      <c r="CD12" s="53">
        <f t="shared" si="5"/>
        <v>5900</v>
      </c>
      <c r="CE12" s="10"/>
      <c r="CF12" s="10"/>
      <c r="CG12" s="10"/>
      <c r="CH12" s="64"/>
      <c r="CI12" s="10"/>
      <c r="CJ12" s="3"/>
      <c r="CY12" s="10"/>
      <c r="DA12" s="10"/>
      <c r="DB12" s="51">
        <v>4</v>
      </c>
      <c r="DC12" s="54">
        <v>1</v>
      </c>
      <c r="DD12" s="54">
        <f t="shared" si="6"/>
        <v>5</v>
      </c>
      <c r="DE12" s="55">
        <f t="shared" si="7"/>
        <v>2.9993586513353794</v>
      </c>
      <c r="DF12" s="55">
        <f t="shared" si="8"/>
        <v>166.9834704216068</v>
      </c>
      <c r="DG12" s="52">
        <f t="shared" si="9"/>
        <v>5655</v>
      </c>
      <c r="DH12" s="52">
        <f t="shared" si="10"/>
        <v>11555</v>
      </c>
      <c r="DI12" s="52">
        <f t="shared" si="11"/>
        <v>16961.37317330157</v>
      </c>
      <c r="DJ12" s="52">
        <f t="shared" si="12"/>
        <v>-5406.37317330157</v>
      </c>
      <c r="DK12" s="52">
        <f t="shared" si="13"/>
        <v>75.1997340420829</v>
      </c>
      <c r="DL12" s="56">
        <f t="shared" si="14"/>
        <v>-0.43054270201535744</v>
      </c>
      <c r="DM12" s="10"/>
      <c r="DY12">
        <f t="shared" si="15"/>
        <v>1000004</v>
      </c>
      <c r="EA12" s="10"/>
      <c r="EB12" s="51">
        <v>4</v>
      </c>
      <c r="EC12" s="54">
        <v>1</v>
      </c>
      <c r="ED12" s="52">
        <f t="shared" si="16"/>
        <v>5655</v>
      </c>
      <c r="EE12" s="52">
        <f t="shared" si="17"/>
        <v>11555</v>
      </c>
      <c r="EF12" s="55">
        <f t="shared" si="18"/>
        <v>2.0433244916003535</v>
      </c>
      <c r="EG12" s="57" t="s">
        <v>13</v>
      </c>
      <c r="EI12" s="58">
        <v>4</v>
      </c>
      <c r="EJ12" s="52" t="str">
        <f aca="true" t="shared" si="39" ref="EJ12:EO12">VLOOKUP(EJ$8*1000000+$EI12,$DY$9:$EG$53,9)</f>
        <v>S</v>
      </c>
      <c r="EK12" s="52" t="str">
        <f t="shared" si="39"/>
        <v>S</v>
      </c>
      <c r="EL12" s="52" t="str">
        <f t="shared" si="39"/>
        <v>L</v>
      </c>
      <c r="EM12" s="52" t="str">
        <f t="shared" si="39"/>
        <v>S</v>
      </c>
      <c r="EN12" s="52" t="str">
        <f t="shared" si="39"/>
        <v>S</v>
      </c>
      <c r="EO12" s="52" t="str">
        <f t="shared" si="39"/>
        <v>L</v>
      </c>
      <c r="EP12" s="52"/>
      <c r="EQ12" s="52"/>
      <c r="ER12" s="57"/>
      <c r="ES12" s="60"/>
      <c r="ET12" s="10"/>
      <c r="EU12" s="10"/>
      <c r="FD12" s="1">
        <v>1925</v>
      </c>
      <c r="FE12">
        <f aca="true" t="shared" si="40" ref="FE12:FJ12">IF(EJ12=$FE$5,1,0)</f>
        <v>1</v>
      </c>
      <c r="FF12">
        <f t="shared" si="40"/>
        <v>1</v>
      </c>
      <c r="FG12">
        <f t="shared" si="40"/>
        <v>0</v>
      </c>
      <c r="FH12">
        <f t="shared" si="40"/>
        <v>1</v>
      </c>
      <c r="FI12">
        <f t="shared" si="40"/>
        <v>1</v>
      </c>
      <c r="FJ12">
        <f t="shared" si="40"/>
        <v>0</v>
      </c>
      <c r="FO12" s="1">
        <v>1925</v>
      </c>
      <c r="FP12">
        <f aca="true" t="shared" si="41" ref="FP12:FU12">IF(EJ12=$FP$5,1,0)</f>
        <v>0</v>
      </c>
      <c r="FQ12">
        <f t="shared" si="41"/>
        <v>0</v>
      </c>
      <c r="FR12">
        <f t="shared" si="41"/>
        <v>1</v>
      </c>
      <c r="FS12">
        <f t="shared" si="41"/>
        <v>0</v>
      </c>
      <c r="FT12">
        <f t="shared" si="41"/>
        <v>0</v>
      </c>
      <c r="FU12">
        <f t="shared" si="41"/>
        <v>1</v>
      </c>
      <c r="FZ12">
        <f t="shared" si="28"/>
        <v>3</v>
      </c>
      <c r="GA12">
        <f aca="true" t="shared" si="42" ref="GA12:GA19">GA11*GB12</f>
        <v>6</v>
      </c>
      <c r="GB12" s="8">
        <v>3</v>
      </c>
      <c r="GC12">
        <v>1</v>
      </c>
      <c r="GD12">
        <f t="shared" si="29"/>
        <v>3</v>
      </c>
      <c r="GE12">
        <f t="shared" si="34"/>
        <v>3</v>
      </c>
      <c r="GF12">
        <f aca="true" t="shared" si="43" ref="GF12:GF19">VLOOKUP($GB12,$FZ$9:$GA$19,2)/VLOOKUP(GF$8,$FZ$9:$GA$19,2)/VLOOKUP($GB12-GF$8,$FZ$9:$GA$19,2)</f>
        <v>1</v>
      </c>
      <c r="GY12" t="s">
        <v>62</v>
      </c>
      <c r="HA12" s="51">
        <v>2</v>
      </c>
      <c r="HB12" s="52">
        <f t="shared" si="35"/>
        <v>106</v>
      </c>
      <c r="HC12" s="52">
        <f t="shared" si="36"/>
        <v>4285</v>
      </c>
      <c r="HD12" s="53">
        <f t="shared" si="37"/>
        <v>4049.9724368563398</v>
      </c>
      <c r="HE12" s="10"/>
    </row>
    <row r="13" spans="1:213" ht="12" customHeight="1" thickBot="1" thickTop="1">
      <c r="A13" s="45">
        <v>5</v>
      </c>
      <c r="B13" s="47">
        <v>1092</v>
      </c>
      <c r="C13" s="47">
        <v>9565</v>
      </c>
      <c r="D13" s="47">
        <v>15836</v>
      </c>
      <c r="E13" s="47">
        <v>22169</v>
      </c>
      <c r="F13" s="47">
        <v>25955</v>
      </c>
      <c r="G13" s="48">
        <v>26180</v>
      </c>
      <c r="H13" s="65">
        <f aca="true" t="shared" si="44" ref="H13:H18">G13*G$22</f>
        <v>27277.84882051026</v>
      </c>
      <c r="I13" s="65">
        <f t="shared" si="38"/>
        <v>28185.207012009985</v>
      </c>
      <c r="J13" s="65">
        <f t="shared" si="30"/>
        <v>28662.56523526311</v>
      </c>
      <c r="K13" s="61">
        <f t="shared" si="22"/>
        <v>28926.736343422217</v>
      </c>
      <c r="L13" s="7"/>
      <c r="M13" s="62">
        <f>K13-G13</f>
        <v>2746.736343422217</v>
      </c>
      <c r="N13" s="62">
        <f t="shared" si="23"/>
        <v>1469.4571495894306</v>
      </c>
      <c r="O13" s="63">
        <f t="shared" si="24"/>
        <v>0.5349829637301856</v>
      </c>
      <c r="R13">
        <f t="shared" si="0"/>
        <v>8.75915750915751</v>
      </c>
      <c r="V13">
        <f t="shared" si="1"/>
        <v>10444980</v>
      </c>
      <c r="W13">
        <f t="shared" si="2"/>
        <v>1192464</v>
      </c>
      <c r="Z13" s="13"/>
      <c r="BX13" t="s">
        <v>61</v>
      </c>
      <c r="BY13" t="s">
        <v>61</v>
      </c>
      <c r="CA13" s="51">
        <v>5</v>
      </c>
      <c r="CB13" s="52">
        <f t="shared" si="3"/>
        <v>1092</v>
      </c>
      <c r="CC13" s="52">
        <f t="shared" si="4"/>
        <v>9565</v>
      </c>
      <c r="CD13" s="53">
        <f t="shared" si="5"/>
        <v>8473</v>
      </c>
      <c r="CE13" s="10"/>
      <c r="CF13" s="10"/>
      <c r="CG13" s="10"/>
      <c r="CH13" s="64"/>
      <c r="CI13" s="10"/>
      <c r="CJ13" s="3"/>
      <c r="CY13" s="10"/>
      <c r="DA13" s="10"/>
      <c r="DB13" s="51">
        <v>5</v>
      </c>
      <c r="DC13" s="54">
        <v>1</v>
      </c>
      <c r="DD13" s="54">
        <f t="shared" si="6"/>
        <v>6</v>
      </c>
      <c r="DE13" s="55">
        <f t="shared" si="7"/>
        <v>2.9993586513353794</v>
      </c>
      <c r="DF13" s="55">
        <f t="shared" si="8"/>
        <v>166.9834704216068</v>
      </c>
      <c r="DG13" s="52">
        <f t="shared" si="9"/>
        <v>1092</v>
      </c>
      <c r="DH13" s="52">
        <f t="shared" si="10"/>
        <v>9565</v>
      </c>
      <c r="DI13" s="52">
        <f t="shared" si="11"/>
        <v>3275.2996472582345</v>
      </c>
      <c r="DJ13" s="52">
        <f t="shared" si="12"/>
        <v>6289.7003527417655</v>
      </c>
      <c r="DK13" s="52">
        <f t="shared" si="13"/>
        <v>33.04542328371661</v>
      </c>
      <c r="DL13" s="56">
        <f t="shared" si="14"/>
        <v>1.1398433078749297</v>
      </c>
      <c r="DM13" s="10"/>
      <c r="DY13">
        <f t="shared" si="15"/>
        <v>1000005</v>
      </c>
      <c r="EA13" s="10"/>
      <c r="EB13" s="51">
        <v>5</v>
      </c>
      <c r="EC13" s="54">
        <v>1</v>
      </c>
      <c r="ED13" s="52">
        <f t="shared" si="16"/>
        <v>1092</v>
      </c>
      <c r="EE13" s="52">
        <f t="shared" si="17"/>
        <v>9565</v>
      </c>
      <c r="EF13" s="55">
        <f t="shared" si="18"/>
        <v>8.75915750915751</v>
      </c>
      <c r="EG13" s="57" t="s">
        <v>14</v>
      </c>
      <c r="EI13" s="58">
        <v>5</v>
      </c>
      <c r="EJ13" s="52" t="str">
        <f>VLOOKUP(EJ$8*1000000+$EI13,$DY$9:$EG$53,9)</f>
        <v>L</v>
      </c>
      <c r="EK13" s="52" t="str">
        <f>VLOOKUP(EK$8*1000000+$EI13,$DY$9:$EG$53,9)</f>
        <v>L</v>
      </c>
      <c r="EL13" s="52" t="str">
        <f>VLOOKUP(EL$8*1000000+$EI13,$DY$9:$EG$53,9)</f>
        <v>L</v>
      </c>
      <c r="EM13" s="52" t="str">
        <f>VLOOKUP(EM$8*1000000+$EI13,$DY$9:$EG$53,9)</f>
        <v>L</v>
      </c>
      <c r="EN13" s="52" t="str">
        <f>VLOOKUP(EN$8*1000000+$EI13,$DY$9:$EG$53,9)</f>
        <v>S</v>
      </c>
      <c r="EO13" s="52"/>
      <c r="EP13" s="52"/>
      <c r="EQ13" s="52"/>
      <c r="ER13" s="57"/>
      <c r="ES13" s="60"/>
      <c r="ET13" s="10"/>
      <c r="EU13" s="10"/>
      <c r="FD13" s="1">
        <v>1926</v>
      </c>
      <c r="FE13">
        <f>IF(EJ13=$FE$5,1,0)</f>
        <v>0</v>
      </c>
      <c r="FF13">
        <f>IF(EK13=$FE$5,1,0)</f>
        <v>0</v>
      </c>
      <c r="FG13">
        <f>IF(EL13=$FE$5,1,0)</f>
        <v>0</v>
      </c>
      <c r="FH13">
        <f>IF(EM13=$FE$5,1,0)</f>
        <v>0</v>
      </c>
      <c r="FI13">
        <f>IF(EN13=$FE$5,1,0)</f>
        <v>1</v>
      </c>
      <c r="FO13" s="1">
        <v>1926</v>
      </c>
      <c r="FP13">
        <f>IF(EJ13=$FP$5,1,0)</f>
        <v>1</v>
      </c>
      <c r="FQ13">
        <f>IF(EK13=$FP$5,1,0)</f>
        <v>1</v>
      </c>
      <c r="FR13">
        <f>IF(EL13=$FP$5,1,0)</f>
        <v>1</v>
      </c>
      <c r="FS13">
        <f>IF(EM13=$FP$5,1,0)</f>
        <v>1</v>
      </c>
      <c r="FT13">
        <f>IF(EN13=$FP$5,1,0)</f>
        <v>0</v>
      </c>
      <c r="FZ13">
        <f t="shared" si="28"/>
        <v>4</v>
      </c>
      <c r="GA13">
        <f t="shared" si="42"/>
        <v>24</v>
      </c>
      <c r="GB13" s="8">
        <v>4</v>
      </c>
      <c r="GC13">
        <v>1</v>
      </c>
      <c r="GD13">
        <f t="shared" si="29"/>
        <v>4</v>
      </c>
      <c r="GE13">
        <f t="shared" si="34"/>
        <v>6</v>
      </c>
      <c r="GF13">
        <f t="shared" si="43"/>
        <v>4</v>
      </c>
      <c r="GG13">
        <f aca="true" t="shared" si="45" ref="GG13:GG19">VLOOKUP($GB13,$FZ$9:$GA$19,2)/VLOOKUP(GG$8,$FZ$9:$GA$19,2)/VLOOKUP($GB13-GG$8,$FZ$9:$GA$19,2)</f>
        <v>1</v>
      </c>
      <c r="GY13" t="s">
        <v>63</v>
      </c>
      <c r="HA13" s="51">
        <v>3</v>
      </c>
      <c r="HB13" s="52">
        <f t="shared" si="35"/>
        <v>3410</v>
      </c>
      <c r="HC13" s="52">
        <f t="shared" si="36"/>
        <v>8992</v>
      </c>
      <c r="HD13" s="53">
        <f t="shared" si="37"/>
        <v>1431.207638491691</v>
      </c>
      <c r="HE13" s="10"/>
    </row>
    <row r="14" spans="1:213" ht="12" customHeight="1" thickBot="1" thickTop="1">
      <c r="A14" s="45">
        <v>6</v>
      </c>
      <c r="B14" s="47">
        <v>1513</v>
      </c>
      <c r="C14" s="47">
        <v>6445</v>
      </c>
      <c r="D14" s="47">
        <v>11702</v>
      </c>
      <c r="E14" s="47">
        <v>12935</v>
      </c>
      <c r="F14" s="48">
        <v>15852</v>
      </c>
      <c r="G14" s="65">
        <f>F14*F$22</f>
        <v>17649.37721614485</v>
      </c>
      <c r="H14" s="65">
        <f t="shared" si="44"/>
        <v>18389.497459058726</v>
      </c>
      <c r="I14" s="65">
        <f t="shared" si="38"/>
        <v>19001.197496947865</v>
      </c>
      <c r="J14" s="65">
        <f t="shared" si="30"/>
        <v>19323.010917475865</v>
      </c>
      <c r="K14" s="61">
        <f t="shared" si="22"/>
        <v>19501.10318399638</v>
      </c>
      <c r="L14" s="7"/>
      <c r="M14" s="62">
        <f>K14-F14</f>
        <v>3649.10318399638</v>
      </c>
      <c r="N14" s="62">
        <f t="shared" si="23"/>
        <v>2001.856930931855</v>
      </c>
      <c r="O14" s="63">
        <f t="shared" si="24"/>
        <v>0.5485887435880851</v>
      </c>
      <c r="R14">
        <f t="shared" si="0"/>
        <v>4.259748843357568</v>
      </c>
      <c r="V14">
        <f t="shared" si="1"/>
        <v>9751285</v>
      </c>
      <c r="W14">
        <f t="shared" si="2"/>
        <v>2289169</v>
      </c>
      <c r="Z14" s="13"/>
      <c r="BX14" t="s">
        <v>62</v>
      </c>
      <c r="BY14" t="s">
        <v>62</v>
      </c>
      <c r="CA14" s="51">
        <v>6</v>
      </c>
      <c r="CB14" s="52">
        <f t="shared" si="3"/>
        <v>1513</v>
      </c>
      <c r="CC14" s="52">
        <f t="shared" si="4"/>
        <v>6445</v>
      </c>
      <c r="CD14" s="53">
        <f t="shared" si="5"/>
        <v>4932</v>
      </c>
      <c r="CE14" s="10"/>
      <c r="CF14" s="10"/>
      <c r="CG14" s="10"/>
      <c r="CH14" s="64"/>
      <c r="CI14" s="10"/>
      <c r="CJ14" s="3"/>
      <c r="CY14" s="10"/>
      <c r="DA14" s="10"/>
      <c r="DB14" s="51">
        <v>6</v>
      </c>
      <c r="DC14" s="54">
        <v>1</v>
      </c>
      <c r="DD14" s="54">
        <f t="shared" si="6"/>
        <v>7</v>
      </c>
      <c r="DE14" s="55">
        <f t="shared" si="7"/>
        <v>2.9993586513353794</v>
      </c>
      <c r="DF14" s="55">
        <f t="shared" si="8"/>
        <v>166.9834704216068</v>
      </c>
      <c r="DG14" s="52">
        <f t="shared" si="9"/>
        <v>1513</v>
      </c>
      <c r="DH14" s="52">
        <f t="shared" si="10"/>
        <v>6445</v>
      </c>
      <c r="DI14" s="52">
        <f t="shared" si="11"/>
        <v>4538.029639470429</v>
      </c>
      <c r="DJ14" s="52">
        <f t="shared" si="12"/>
        <v>1906.9703605295708</v>
      </c>
      <c r="DK14" s="52">
        <f t="shared" si="13"/>
        <v>38.897300677553446</v>
      </c>
      <c r="DL14" s="56">
        <f t="shared" si="14"/>
        <v>0.2935965826218851</v>
      </c>
      <c r="DM14" s="10"/>
      <c r="DY14">
        <f t="shared" si="15"/>
        <v>1000006</v>
      </c>
      <c r="EA14" s="10"/>
      <c r="EB14" s="51">
        <v>6</v>
      </c>
      <c r="EC14" s="54">
        <v>1</v>
      </c>
      <c r="ED14" s="52">
        <f t="shared" si="16"/>
        <v>1513</v>
      </c>
      <c r="EE14" s="52">
        <f t="shared" si="17"/>
        <v>6445</v>
      </c>
      <c r="EF14" s="55">
        <f t="shared" si="18"/>
        <v>4.259748843357568</v>
      </c>
      <c r="EG14" s="57" t="s">
        <v>64</v>
      </c>
      <c r="EI14" s="58">
        <v>6</v>
      </c>
      <c r="EJ14" s="52" t="str">
        <f>VLOOKUP(EJ$8*1000000+$EI14,$DY$9:$EG$53,9)</f>
        <v>M</v>
      </c>
      <c r="EK14" s="52" t="str">
        <f>VLOOKUP(EK$8*1000000+$EI14,$DY$9:$EG$53,9)</f>
        <v>L</v>
      </c>
      <c r="EL14" s="52" t="str">
        <f>VLOOKUP(EL$8*1000000+$EI14,$DY$9:$EG$53,9)</f>
        <v>S</v>
      </c>
      <c r="EM14" s="52" t="str">
        <f>VLOOKUP(EM$8*1000000+$EI14,$DY$9:$EG$53,9)</f>
        <v>L</v>
      </c>
      <c r="EN14" s="52"/>
      <c r="EO14" s="52"/>
      <c r="EP14" s="52"/>
      <c r="EQ14" s="52"/>
      <c r="ER14" s="57"/>
      <c r="ES14" s="60"/>
      <c r="ET14" s="10"/>
      <c r="EU14" s="10"/>
      <c r="FD14" s="1">
        <v>1927</v>
      </c>
      <c r="FE14">
        <f>IF(EJ14=$FE$5,1,0)</f>
        <v>0</v>
      </c>
      <c r="FF14">
        <f>IF(EK14=$FE$5,1,0)</f>
        <v>0</v>
      </c>
      <c r="FG14">
        <f>IF(EL14=$FE$5,1,0)</f>
        <v>1</v>
      </c>
      <c r="FH14">
        <f>IF(EM14=$FE$5,1,0)</f>
        <v>0</v>
      </c>
      <c r="FO14" s="1">
        <v>1927</v>
      </c>
      <c r="FP14">
        <f>IF(EJ14=$FP$5,1,0)</f>
        <v>0</v>
      </c>
      <c r="FQ14">
        <f>IF(EK14=$FP$5,1,0)</f>
        <v>1</v>
      </c>
      <c r="FR14">
        <f>IF(EL14=$FP$5,1,0)</f>
        <v>0</v>
      </c>
      <c r="FS14">
        <f>IF(EM14=$FP$5,1,0)</f>
        <v>1</v>
      </c>
      <c r="FZ14">
        <f t="shared" si="28"/>
        <v>5</v>
      </c>
      <c r="GA14">
        <f t="shared" si="42"/>
        <v>120</v>
      </c>
      <c r="GB14" s="8">
        <v>5</v>
      </c>
      <c r="GC14">
        <v>1</v>
      </c>
      <c r="GD14">
        <f t="shared" si="29"/>
        <v>5</v>
      </c>
      <c r="GE14">
        <f t="shared" si="34"/>
        <v>10</v>
      </c>
      <c r="GF14">
        <f t="shared" si="43"/>
        <v>10</v>
      </c>
      <c r="GG14">
        <f t="shared" si="45"/>
        <v>5</v>
      </c>
      <c r="GH14">
        <f aca="true" t="shared" si="46" ref="GH14:GH19">VLOOKUP($GB14,$FZ$9:$GA$19,2)/VLOOKUP(GH$8,$FZ$9:$GA$19,2)/VLOOKUP($GB14-GH$8,$FZ$9:$GA$19,2)</f>
        <v>1</v>
      </c>
      <c r="GY14" t="s">
        <v>65</v>
      </c>
      <c r="HA14" s="51">
        <v>4</v>
      </c>
      <c r="HB14" s="52">
        <f t="shared" si="35"/>
        <v>5655</v>
      </c>
      <c r="HC14" s="52">
        <f t="shared" si="36"/>
        <v>11555</v>
      </c>
      <c r="HD14" s="53">
        <f t="shared" si="37"/>
        <v>-983.4987695980908</v>
      </c>
      <c r="HE14" s="10"/>
    </row>
    <row r="15" spans="1:213" ht="12" customHeight="1" thickBot="1" thickTop="1">
      <c r="A15" s="45">
        <v>7</v>
      </c>
      <c r="B15" s="47">
        <v>557</v>
      </c>
      <c r="C15" s="47">
        <v>4020</v>
      </c>
      <c r="D15" s="47">
        <v>10946</v>
      </c>
      <c r="E15" s="48">
        <v>12314</v>
      </c>
      <c r="F15" s="65">
        <f>E15*E$22</f>
        <v>14428.001431850247</v>
      </c>
      <c r="G15" s="65">
        <f>F15*F$22</f>
        <v>16063.918732387274</v>
      </c>
      <c r="H15" s="65">
        <f t="shared" si="44"/>
        <v>16737.553347861834</v>
      </c>
      <c r="I15" s="65">
        <f t="shared" si="38"/>
        <v>17294.30385395112</v>
      </c>
      <c r="J15" s="65">
        <f t="shared" si="30"/>
        <v>17587.20850271258</v>
      </c>
      <c r="K15" s="61">
        <f t="shared" si="22"/>
        <v>17749.302590295185</v>
      </c>
      <c r="L15" s="7"/>
      <c r="M15" s="62">
        <f>K15-E15</f>
        <v>5435.302590295185</v>
      </c>
      <c r="N15" s="62">
        <f t="shared" si="23"/>
        <v>2209.2420936420785</v>
      </c>
      <c r="O15" s="63">
        <f t="shared" si="24"/>
        <v>0.4064616563550139</v>
      </c>
      <c r="R15">
        <f t="shared" si="0"/>
        <v>7.217235188509874</v>
      </c>
      <c r="V15">
        <f t="shared" si="1"/>
        <v>2239140</v>
      </c>
      <c r="W15">
        <f t="shared" si="2"/>
        <v>310249</v>
      </c>
      <c r="Z15" s="13"/>
      <c r="BX15" t="s">
        <v>63</v>
      </c>
      <c r="BY15" t="s">
        <v>63</v>
      </c>
      <c r="CA15" s="51">
        <v>7</v>
      </c>
      <c r="CB15" s="52">
        <f t="shared" si="3"/>
        <v>557</v>
      </c>
      <c r="CC15" s="52">
        <f t="shared" si="4"/>
        <v>4020</v>
      </c>
      <c r="CD15" s="53">
        <f t="shared" si="5"/>
        <v>3463</v>
      </c>
      <c r="CE15" s="10"/>
      <c r="CF15" s="10"/>
      <c r="CG15" s="10"/>
      <c r="CH15" s="64"/>
      <c r="CI15" s="10"/>
      <c r="CJ15" s="3"/>
      <c r="CY15" s="10"/>
      <c r="DA15" s="10"/>
      <c r="DB15" s="51">
        <v>7</v>
      </c>
      <c r="DC15" s="54">
        <v>1</v>
      </c>
      <c r="DD15" s="54">
        <f t="shared" si="6"/>
        <v>8</v>
      </c>
      <c r="DE15" s="55">
        <f t="shared" si="7"/>
        <v>2.9993586513353794</v>
      </c>
      <c r="DF15" s="55">
        <f t="shared" si="8"/>
        <v>166.9834704216068</v>
      </c>
      <c r="DG15" s="52">
        <f t="shared" si="9"/>
        <v>557</v>
      </c>
      <c r="DH15" s="52">
        <f t="shared" si="10"/>
        <v>4020</v>
      </c>
      <c r="DI15" s="52">
        <f t="shared" si="11"/>
        <v>1670.6427687938062</v>
      </c>
      <c r="DJ15" s="52">
        <f t="shared" si="12"/>
        <v>2349.357231206194</v>
      </c>
      <c r="DK15" s="52">
        <f t="shared" si="13"/>
        <v>23.600847442411894</v>
      </c>
      <c r="DL15" s="56">
        <f t="shared" si="14"/>
        <v>0.5961396085100358</v>
      </c>
      <c r="DM15" s="10"/>
      <c r="DY15">
        <f t="shared" si="15"/>
        <v>1000007</v>
      </c>
      <c r="EA15" s="10"/>
      <c r="EB15" s="51">
        <v>7</v>
      </c>
      <c r="EC15" s="54">
        <v>1</v>
      </c>
      <c r="ED15" s="52">
        <f t="shared" si="16"/>
        <v>557</v>
      </c>
      <c r="EE15" s="52">
        <f t="shared" si="17"/>
        <v>4020</v>
      </c>
      <c r="EF15" s="55">
        <f t="shared" si="18"/>
        <v>7.217235188509874</v>
      </c>
      <c r="EG15" s="57" t="s">
        <v>14</v>
      </c>
      <c r="EI15" s="58">
        <v>7</v>
      </c>
      <c r="EJ15" s="52" t="str">
        <f>VLOOKUP(EJ$8*1000000+$EI15,$DY$9:$EG$53,9)</f>
        <v>L</v>
      </c>
      <c r="EK15" s="52" t="str">
        <f>VLOOKUP(EK$8*1000000+$EI15,$DY$9:$EG$53,9)</f>
        <v>L</v>
      </c>
      <c r="EL15" s="52" t="str">
        <f>VLOOKUP(EL$8*1000000+$EI15,$DY$9:$EG$53,9)</f>
        <v>S</v>
      </c>
      <c r="EM15" s="52"/>
      <c r="EN15" s="52"/>
      <c r="EO15" s="52"/>
      <c r="EP15" s="52"/>
      <c r="EQ15" s="52"/>
      <c r="ER15" s="57"/>
      <c r="ES15" s="60"/>
      <c r="ET15" s="10"/>
      <c r="EU15" s="10"/>
      <c r="FD15" s="1">
        <v>1928</v>
      </c>
      <c r="FE15">
        <f>IF(EJ15=$FE$5,1,0)</f>
        <v>0</v>
      </c>
      <c r="FF15">
        <f>IF(EK15=$FE$5,1,0)</f>
        <v>0</v>
      </c>
      <c r="FG15">
        <f>IF(EL15=$FE$5,1,0)</f>
        <v>1</v>
      </c>
      <c r="FO15" s="1">
        <v>1928</v>
      </c>
      <c r="FP15">
        <f>IF(EJ15=$FP$5,1,0)</f>
        <v>1</v>
      </c>
      <c r="FQ15">
        <f>IF(EK15=$FP$5,1,0)</f>
        <v>1</v>
      </c>
      <c r="FR15">
        <f>IF(EL15=$FP$5,1,0)</f>
        <v>0</v>
      </c>
      <c r="FZ15">
        <f t="shared" si="28"/>
        <v>6</v>
      </c>
      <c r="GA15">
        <f t="shared" si="42"/>
        <v>720</v>
      </c>
      <c r="GB15" s="8">
        <v>6</v>
      </c>
      <c r="GC15">
        <v>1</v>
      </c>
      <c r="GD15">
        <f t="shared" si="29"/>
        <v>6</v>
      </c>
      <c r="GE15">
        <f t="shared" si="34"/>
        <v>15</v>
      </c>
      <c r="GF15">
        <f t="shared" si="43"/>
        <v>20</v>
      </c>
      <c r="GG15">
        <f t="shared" si="45"/>
        <v>15</v>
      </c>
      <c r="GH15">
        <f t="shared" si="46"/>
        <v>6</v>
      </c>
      <c r="GI15">
        <f>VLOOKUP($GB15,$FZ$9:$GA$19,2)/VLOOKUP(GI$8,$FZ$9:$GA$19,2)/VLOOKUP($GB15-GI$8,$FZ$9:$GA$19,2)</f>
        <v>1</v>
      </c>
      <c r="GY15" t="s">
        <v>66</v>
      </c>
      <c r="HA15" s="51">
        <v>5</v>
      </c>
      <c r="HB15" s="52">
        <f t="shared" si="35"/>
        <v>1092</v>
      </c>
      <c r="HC15" s="52">
        <f t="shared" si="36"/>
        <v>9565</v>
      </c>
      <c r="HD15" s="53">
        <f t="shared" si="37"/>
        <v>7143.772651387955</v>
      </c>
      <c r="HE15" s="10"/>
    </row>
    <row r="16" spans="1:213" ht="12" customHeight="1" thickBot="1" thickTop="1">
      <c r="A16" s="45">
        <v>8</v>
      </c>
      <c r="B16" s="47">
        <v>1351</v>
      </c>
      <c r="C16" s="47">
        <v>6947</v>
      </c>
      <c r="D16" s="48">
        <v>13112</v>
      </c>
      <c r="E16" s="65">
        <f>D16*D$22</f>
        <v>16663.884964347475</v>
      </c>
      <c r="F16" s="65">
        <f>E16*E$22</f>
        <v>19524.651301428712</v>
      </c>
      <c r="G16" s="65">
        <f>F16*F$22</f>
        <v>21738.451667462075</v>
      </c>
      <c r="H16" s="65">
        <f t="shared" si="44"/>
        <v>22650.0457668831</v>
      </c>
      <c r="I16" s="65">
        <f t="shared" si="38"/>
        <v>23403.466782581825</v>
      </c>
      <c r="J16" s="65">
        <f t="shared" si="30"/>
        <v>23799.839153256144</v>
      </c>
      <c r="K16" s="61">
        <f t="shared" si="22"/>
        <v>24019.192509507353</v>
      </c>
      <c r="L16" s="7"/>
      <c r="M16" s="62">
        <f>K16-D16</f>
        <v>10907.192509507353</v>
      </c>
      <c r="N16" s="62">
        <f t="shared" si="23"/>
        <v>5357.869297697076</v>
      </c>
      <c r="O16" s="63">
        <f t="shared" si="24"/>
        <v>0.49122350165057055</v>
      </c>
      <c r="R16">
        <f t="shared" si="0"/>
        <v>5.142116950407106</v>
      </c>
      <c r="V16">
        <f t="shared" si="1"/>
        <v>9385397</v>
      </c>
      <c r="W16">
        <f t="shared" si="2"/>
        <v>1825201</v>
      </c>
      <c r="Z16" s="13"/>
      <c r="BX16" t="s">
        <v>65</v>
      </c>
      <c r="BY16" t="s">
        <v>65</v>
      </c>
      <c r="CA16" s="51">
        <v>8</v>
      </c>
      <c r="CB16" s="52">
        <f t="shared" si="3"/>
        <v>1351</v>
      </c>
      <c r="CC16" s="52">
        <f t="shared" si="4"/>
        <v>6947</v>
      </c>
      <c r="CD16" s="53">
        <f t="shared" si="5"/>
        <v>5596</v>
      </c>
      <c r="CE16" s="10"/>
      <c r="CF16" s="10"/>
      <c r="CG16" s="10"/>
      <c r="CH16" s="64"/>
      <c r="CI16" s="10"/>
      <c r="CJ16" s="3"/>
      <c r="CY16" s="10"/>
      <c r="DA16" s="10"/>
      <c r="DB16" s="51">
        <v>8</v>
      </c>
      <c r="DC16" s="54">
        <v>1</v>
      </c>
      <c r="DD16" s="54">
        <f t="shared" si="6"/>
        <v>9</v>
      </c>
      <c r="DE16" s="55">
        <f t="shared" si="7"/>
        <v>2.9993586513353794</v>
      </c>
      <c r="DF16" s="55">
        <f t="shared" si="8"/>
        <v>166.9834704216068</v>
      </c>
      <c r="DG16" s="52">
        <f t="shared" si="9"/>
        <v>1351</v>
      </c>
      <c r="DH16" s="52">
        <f t="shared" si="10"/>
        <v>6947</v>
      </c>
      <c r="DI16" s="52">
        <f t="shared" si="11"/>
        <v>4052.1335379540974</v>
      </c>
      <c r="DJ16" s="52">
        <f t="shared" si="12"/>
        <v>2894.8664620459026</v>
      </c>
      <c r="DK16" s="52">
        <f t="shared" si="13"/>
        <v>36.75595189897821</v>
      </c>
      <c r="DL16" s="56">
        <f t="shared" si="14"/>
        <v>0.4716581873221491</v>
      </c>
      <c r="DM16" s="10"/>
      <c r="DY16">
        <f t="shared" si="15"/>
        <v>1000008</v>
      </c>
      <c r="EA16" s="10"/>
      <c r="EB16" s="51">
        <v>8</v>
      </c>
      <c r="EC16" s="54">
        <v>1</v>
      </c>
      <c r="ED16" s="52">
        <f t="shared" si="16"/>
        <v>1351</v>
      </c>
      <c r="EE16" s="52">
        <f t="shared" si="17"/>
        <v>6947</v>
      </c>
      <c r="EF16" s="55">
        <f t="shared" si="18"/>
        <v>5.142116950407106</v>
      </c>
      <c r="EG16" s="57" t="s">
        <v>14</v>
      </c>
      <c r="EI16" s="58">
        <v>8</v>
      </c>
      <c r="EJ16" s="52" t="str">
        <f>VLOOKUP(EJ$8*1000000+$EI16,$DY$9:$EG$53,9)</f>
        <v>L</v>
      </c>
      <c r="EK16" s="52" t="str">
        <f>VLOOKUP(EK$8*1000000+$EI16,$DY$9:$EG$53,9)</f>
        <v>L</v>
      </c>
      <c r="EL16" s="52"/>
      <c r="EM16" s="52"/>
      <c r="EN16" s="52"/>
      <c r="EO16" s="52"/>
      <c r="EP16" s="52"/>
      <c r="EQ16" s="52"/>
      <c r="ER16" s="57"/>
      <c r="ES16" s="60"/>
      <c r="ET16" s="10"/>
      <c r="EU16" s="10"/>
      <c r="FD16" s="1">
        <v>1929</v>
      </c>
      <c r="FE16">
        <f>IF(EJ16=$FE$5,1,0)</f>
        <v>0</v>
      </c>
      <c r="FF16">
        <f>IF(EK16=$FE$5,1,0)</f>
        <v>0</v>
      </c>
      <c r="FO16" s="1">
        <v>1929</v>
      </c>
      <c r="FP16">
        <f>IF(EJ16=$FP$5,1,0)</f>
        <v>1</v>
      </c>
      <c r="FQ16">
        <f>IF(EK16=$FP$5,1,0)</f>
        <v>1</v>
      </c>
      <c r="FZ16">
        <f t="shared" si="28"/>
        <v>7</v>
      </c>
      <c r="GA16">
        <f t="shared" si="42"/>
        <v>5040</v>
      </c>
      <c r="GB16" s="8">
        <v>7</v>
      </c>
      <c r="GC16">
        <v>1</v>
      </c>
      <c r="GD16">
        <f t="shared" si="29"/>
        <v>7</v>
      </c>
      <c r="GE16">
        <f t="shared" si="34"/>
        <v>21</v>
      </c>
      <c r="GF16">
        <f t="shared" si="43"/>
        <v>35</v>
      </c>
      <c r="GG16">
        <f t="shared" si="45"/>
        <v>35</v>
      </c>
      <c r="GH16">
        <f t="shared" si="46"/>
        <v>21</v>
      </c>
      <c r="GI16">
        <f>VLOOKUP($GB16,$FZ$9:$GA$19,2)/VLOOKUP(GI$8,$FZ$9:$GA$19,2)/VLOOKUP($GB16-GI$8,$FZ$9:$GA$19,2)</f>
        <v>7</v>
      </c>
      <c r="GJ16">
        <f>VLOOKUP($GB16,$FZ$9:$GA$19,2)/VLOOKUP(GJ$8,$FZ$9:$GA$19,2)/VLOOKUP($GB16-GJ$8,$FZ$9:$GA$19,2)</f>
        <v>1</v>
      </c>
      <c r="GY16" t="s">
        <v>67</v>
      </c>
      <c r="HA16" s="51">
        <v>6</v>
      </c>
      <c r="HB16" s="52">
        <f t="shared" si="35"/>
        <v>1513</v>
      </c>
      <c r="HC16" s="52">
        <f t="shared" si="36"/>
        <v>6445</v>
      </c>
      <c r="HD16" s="53">
        <f t="shared" si="37"/>
        <v>3090.3141222985128</v>
      </c>
      <c r="HE16" s="10"/>
    </row>
    <row r="17" spans="1:213" ht="12" customHeight="1" thickBot="1" thickTop="1">
      <c r="A17" s="45">
        <v>9</v>
      </c>
      <c r="B17" s="47">
        <v>3133</v>
      </c>
      <c r="C17" s="48">
        <v>5395</v>
      </c>
      <c r="D17" s="65">
        <f>C17*C$22</f>
        <v>8758.905256499884</v>
      </c>
      <c r="E17" s="65">
        <f>D17*D$22</f>
        <v>11131.588591209007</v>
      </c>
      <c r="F17" s="65">
        <f>E17*E$22</f>
        <v>13042.599978295551</v>
      </c>
      <c r="G17" s="65">
        <f>F17*F$22</f>
        <v>14521.43369267101</v>
      </c>
      <c r="H17" s="65">
        <f t="shared" si="44"/>
        <v>15130.384756521918</v>
      </c>
      <c r="I17" s="65">
        <f t="shared" si="38"/>
        <v>15633.67512372456</v>
      </c>
      <c r="J17" s="65">
        <f t="shared" si="30"/>
        <v>15898.454565535923</v>
      </c>
      <c r="K17" s="61">
        <f t="shared" si="22"/>
        <v>16044.984100702153</v>
      </c>
      <c r="L17" s="7"/>
      <c r="M17" s="62">
        <f>K17-C17</f>
        <v>10649.984100702153</v>
      </c>
      <c r="N17" s="62">
        <f t="shared" si="23"/>
        <v>6333.165865736363</v>
      </c>
      <c r="O17" s="63">
        <f t="shared" si="24"/>
        <v>0.5946643493410303</v>
      </c>
      <c r="R17">
        <f t="shared" si="0"/>
        <v>1.7219917012448134</v>
      </c>
      <c r="V17">
        <f t="shared" si="1"/>
        <v>16902535</v>
      </c>
      <c r="W17">
        <f t="shared" si="2"/>
        <v>9815689</v>
      </c>
      <c r="BX17" t="s">
        <v>66</v>
      </c>
      <c r="BY17" t="s">
        <v>66</v>
      </c>
      <c r="CA17" s="66">
        <v>9</v>
      </c>
      <c r="CB17" s="67">
        <f t="shared" si="3"/>
        <v>3133</v>
      </c>
      <c r="CC17" s="67">
        <f t="shared" si="4"/>
        <v>5395</v>
      </c>
      <c r="CD17" s="68">
        <f t="shared" si="5"/>
        <v>2262</v>
      </c>
      <c r="CE17" s="10"/>
      <c r="CF17" s="10"/>
      <c r="CG17" s="10"/>
      <c r="CH17" s="64"/>
      <c r="CI17" s="10"/>
      <c r="CJ17" s="3"/>
      <c r="CY17" s="10"/>
      <c r="DA17" s="10"/>
      <c r="DB17" s="51">
        <v>9</v>
      </c>
      <c r="DC17" s="54">
        <v>1</v>
      </c>
      <c r="DD17" s="54">
        <f t="shared" si="6"/>
        <v>10</v>
      </c>
      <c r="DE17" s="55">
        <f t="shared" si="7"/>
        <v>2.9993586513353794</v>
      </c>
      <c r="DF17" s="55">
        <f t="shared" si="8"/>
        <v>166.9834704216068</v>
      </c>
      <c r="DG17" s="52">
        <f t="shared" si="9"/>
        <v>3133</v>
      </c>
      <c r="DH17" s="52">
        <f t="shared" si="10"/>
        <v>5395</v>
      </c>
      <c r="DI17" s="52">
        <f t="shared" si="11"/>
        <v>9396.990654633744</v>
      </c>
      <c r="DJ17" s="52">
        <f t="shared" si="12"/>
        <v>-4001.9906546337443</v>
      </c>
      <c r="DK17" s="52">
        <f t="shared" si="13"/>
        <v>55.97320787662612</v>
      </c>
      <c r="DL17" s="56">
        <f t="shared" si="14"/>
        <v>-0.4281760682756756</v>
      </c>
      <c r="DM17" s="10"/>
      <c r="DY17">
        <f t="shared" si="15"/>
        <v>1000009</v>
      </c>
      <c r="EA17" s="10"/>
      <c r="EB17" s="66">
        <v>9</v>
      </c>
      <c r="EC17" s="69">
        <v>1</v>
      </c>
      <c r="ED17" s="67">
        <f t="shared" si="16"/>
        <v>3133</v>
      </c>
      <c r="EE17" s="67">
        <f t="shared" si="17"/>
        <v>5395</v>
      </c>
      <c r="EF17" s="70">
        <f t="shared" si="18"/>
        <v>1.7219917012448134</v>
      </c>
      <c r="EG17" s="71" t="s">
        <v>13</v>
      </c>
      <c r="EI17" s="72">
        <v>9</v>
      </c>
      <c r="EJ17" s="67" t="str">
        <f>VLOOKUP(EJ$8*1000000+$EI17,$DY$9:$EG$53,9)</f>
        <v>S</v>
      </c>
      <c r="EK17" s="67"/>
      <c r="EL17" s="67"/>
      <c r="EM17" s="67"/>
      <c r="EN17" s="67"/>
      <c r="EO17" s="67"/>
      <c r="EP17" s="67"/>
      <c r="EQ17" s="67"/>
      <c r="ER17" s="71"/>
      <c r="ES17" s="60"/>
      <c r="ET17" s="10"/>
      <c r="EU17" s="10"/>
      <c r="FD17" s="1">
        <v>1930</v>
      </c>
      <c r="FE17">
        <f>IF(EJ17=$FE$5,1,0)</f>
        <v>1</v>
      </c>
      <c r="FO17" s="1">
        <v>1930</v>
      </c>
      <c r="FP17">
        <f>IF(EJ17=$FP$5,1,0)</f>
        <v>0</v>
      </c>
      <c r="FZ17">
        <f t="shared" si="28"/>
        <v>8</v>
      </c>
      <c r="GA17">
        <f t="shared" si="42"/>
        <v>40320</v>
      </c>
      <c r="GB17" s="8">
        <v>8</v>
      </c>
      <c r="GC17">
        <v>1</v>
      </c>
      <c r="GD17">
        <f t="shared" si="29"/>
        <v>8</v>
      </c>
      <c r="GE17">
        <f t="shared" si="34"/>
        <v>28</v>
      </c>
      <c r="GF17">
        <f t="shared" si="43"/>
        <v>56</v>
      </c>
      <c r="GG17">
        <f t="shared" si="45"/>
        <v>70</v>
      </c>
      <c r="GH17">
        <f t="shared" si="46"/>
        <v>56</v>
      </c>
      <c r="GI17">
        <f>VLOOKUP($GB17,$FZ$9:$GA$19,2)/VLOOKUP(GI$8,$FZ$9:$GA$19,2)/VLOOKUP($GB17-GI$8,$FZ$9:$GA$19,2)</f>
        <v>28</v>
      </c>
      <c r="GJ17">
        <f>VLOOKUP($GB17,$FZ$9:$GA$19,2)/VLOOKUP(GJ$8,$FZ$9:$GA$19,2)/VLOOKUP($GB17-GJ$8,$FZ$9:$GA$19,2)</f>
        <v>8</v>
      </c>
      <c r="GK17">
        <f>VLOOKUP($GB17,$FZ$9:$GA$19,2)/VLOOKUP(GK$8,$FZ$9:$GA$19,2)/VLOOKUP($GB17-GK$8,$FZ$9:$GA$19,2)</f>
        <v>1</v>
      </c>
      <c r="GY17" t="s">
        <v>68</v>
      </c>
      <c r="HA17" s="51">
        <v>7</v>
      </c>
      <c r="HB17" s="52">
        <f t="shared" si="35"/>
        <v>557</v>
      </c>
      <c r="HC17" s="52">
        <f t="shared" si="36"/>
        <v>4020</v>
      </c>
      <c r="HD17" s="53">
        <f t="shared" si="37"/>
        <v>2784.9966729149182</v>
      </c>
      <c r="HE17" s="10"/>
    </row>
    <row r="18" spans="1:213" ht="12" customHeight="1" thickBot="1" thickTop="1">
      <c r="A18" s="73">
        <v>10</v>
      </c>
      <c r="B18" s="48">
        <v>2063</v>
      </c>
      <c r="C18" s="74">
        <f>B18*B22</f>
        <v>6187.676897704888</v>
      </c>
      <c r="D18" s="74">
        <f>C18*C$22</f>
        <v>10045.834236298468</v>
      </c>
      <c r="E18" s="74">
        <f>D18*D$22</f>
        <v>12767.131336529985</v>
      </c>
      <c r="F18" s="74">
        <f>E18*E$22</f>
        <v>14958.92392431986</v>
      </c>
      <c r="G18" s="74">
        <f>F18*F$22</f>
        <v>16655.039811250004</v>
      </c>
      <c r="H18" s="74">
        <f t="shared" si="44"/>
        <v>17353.46287512824</v>
      </c>
      <c r="I18" s="74">
        <f t="shared" si="38"/>
        <v>17930.700720907145</v>
      </c>
      <c r="J18" s="74">
        <f t="shared" si="30"/>
        <v>18234.383693119078</v>
      </c>
      <c r="K18" s="75">
        <f t="shared" si="22"/>
        <v>18402.44252900036</v>
      </c>
      <c r="L18" s="7"/>
      <c r="M18" s="62">
        <f>K18-B18</f>
        <v>16339.44252900036</v>
      </c>
      <c r="N18" s="62">
        <f t="shared" si="23"/>
        <v>24566.287910989606</v>
      </c>
      <c r="O18" s="63">
        <f t="shared" si="24"/>
        <v>1.50349608729843</v>
      </c>
      <c r="V18">
        <f t="shared" si="1"/>
        <v>12765177.439965183</v>
      </c>
      <c r="W18">
        <f t="shared" si="2"/>
        <v>4255969</v>
      </c>
      <c r="BX18" t="s">
        <v>67</v>
      </c>
      <c r="BY18" t="s">
        <v>67</v>
      </c>
      <c r="CA18" s="10"/>
      <c r="CB18" s="10"/>
      <c r="CC18" s="10"/>
      <c r="CD18" s="10"/>
      <c r="CE18" s="10"/>
      <c r="CF18" s="10"/>
      <c r="CG18" s="10"/>
      <c r="CH18" s="10"/>
      <c r="CI18" s="10"/>
      <c r="CJ18" s="3"/>
      <c r="CY18" s="10"/>
      <c r="DA18" s="10"/>
      <c r="DB18" s="51">
        <v>1</v>
      </c>
      <c r="DC18" s="54">
        <v>2</v>
      </c>
      <c r="DD18" s="54">
        <f t="shared" si="6"/>
        <v>3</v>
      </c>
      <c r="DE18" s="55">
        <f t="shared" si="7"/>
        <v>1.6235227537534538</v>
      </c>
      <c r="DF18" s="55">
        <f t="shared" si="8"/>
        <v>33.29453838293912</v>
      </c>
      <c r="DG18" s="52">
        <f t="shared" si="9"/>
        <v>8269</v>
      </c>
      <c r="DH18" s="52">
        <f t="shared" si="10"/>
        <v>10907</v>
      </c>
      <c r="DI18" s="52">
        <f t="shared" si="11"/>
        <v>13424.90965078731</v>
      </c>
      <c r="DJ18" s="52">
        <f t="shared" si="12"/>
        <v>-2517.909650787309</v>
      </c>
      <c r="DK18" s="52">
        <f t="shared" si="13"/>
        <v>90.93404203047393</v>
      </c>
      <c r="DL18" s="56">
        <f t="shared" si="14"/>
        <v>-0.8316501085262541</v>
      </c>
      <c r="DM18" s="10"/>
      <c r="DY18">
        <f t="shared" si="15"/>
        <v>2000001</v>
      </c>
      <c r="EA18" s="10"/>
      <c r="EB18" s="51">
        <v>1</v>
      </c>
      <c r="EC18" s="54">
        <v>2</v>
      </c>
      <c r="ED18" s="52">
        <f t="shared" si="16"/>
        <v>8269</v>
      </c>
      <c r="EE18" s="52">
        <f t="shared" si="17"/>
        <v>10907</v>
      </c>
      <c r="EF18" s="55">
        <f t="shared" si="18"/>
        <v>1.319022856451808</v>
      </c>
      <c r="EG18" s="57" t="s">
        <v>13</v>
      </c>
      <c r="EI18" s="43"/>
      <c r="EJ18" s="59"/>
      <c r="EK18" s="60"/>
      <c r="EL18" s="60"/>
      <c r="EM18" s="60"/>
      <c r="EN18" s="60"/>
      <c r="EO18" s="60"/>
      <c r="EP18" s="60"/>
      <c r="EQ18" s="60"/>
      <c r="ER18" s="60"/>
      <c r="ES18" s="60"/>
      <c r="ET18" s="10"/>
      <c r="EU18" s="10"/>
      <c r="FI18" s="60"/>
      <c r="FT18" s="60"/>
      <c r="FZ18">
        <f t="shared" si="28"/>
        <v>9</v>
      </c>
      <c r="GA18">
        <f t="shared" si="42"/>
        <v>362880</v>
      </c>
      <c r="GB18" s="8">
        <v>9</v>
      </c>
      <c r="GC18">
        <v>1</v>
      </c>
      <c r="GD18">
        <f t="shared" si="29"/>
        <v>9</v>
      </c>
      <c r="GE18">
        <f t="shared" si="34"/>
        <v>36</v>
      </c>
      <c r="GF18">
        <f t="shared" si="43"/>
        <v>84</v>
      </c>
      <c r="GG18">
        <f t="shared" si="45"/>
        <v>126</v>
      </c>
      <c r="GH18">
        <f t="shared" si="46"/>
        <v>126</v>
      </c>
      <c r="GI18">
        <f>VLOOKUP($GB18,$FZ$9:$GA$19,2)/VLOOKUP(GI$8,$FZ$9:$GA$19,2)/VLOOKUP($GB18-GI$8,$FZ$9:$GA$19,2)</f>
        <v>84</v>
      </c>
      <c r="GJ18">
        <f>VLOOKUP($GB18,$FZ$9:$GA$19,2)/VLOOKUP(GJ$8,$FZ$9:$GA$19,2)/VLOOKUP($GB18-GJ$8,$FZ$9:$GA$19,2)</f>
        <v>36</v>
      </c>
      <c r="GK18">
        <f>VLOOKUP($GB18,$FZ$9:$GA$19,2)/VLOOKUP(GK$8,$FZ$9:$GA$19,2)/VLOOKUP($GB18-GK$8,$FZ$9:$GA$19,2)</f>
        <v>9</v>
      </c>
      <c r="GL18">
        <f>VLOOKUP($GB18,$FZ$9:$GA$19,2)/VLOOKUP(GL$8,$FZ$9:$GA$19,2)/VLOOKUP($GB18-GL$8,$FZ$9:$GA$19,2)</f>
        <v>1</v>
      </c>
      <c r="GY18" t="s">
        <v>69</v>
      </c>
      <c r="HA18" s="51">
        <v>8</v>
      </c>
      <c r="HB18" s="52">
        <f t="shared" si="35"/>
        <v>1351</v>
      </c>
      <c r="HC18" s="52">
        <f t="shared" si="36"/>
        <v>6947</v>
      </c>
      <c r="HD18" s="53">
        <f t="shared" si="37"/>
        <v>3951.5071904992005</v>
      </c>
      <c r="HE18" s="10"/>
    </row>
    <row r="19" spans="1:213" ht="12" customHeight="1" thickBot="1" thickTop="1">
      <c r="A19" s="14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7"/>
      <c r="M19" s="7"/>
      <c r="N19" s="7"/>
      <c r="O19" s="7"/>
      <c r="R19" t="s">
        <v>70</v>
      </c>
      <c r="V19" t="s">
        <v>71</v>
      </c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X19" t="s">
        <v>68</v>
      </c>
      <c r="BY19" t="s">
        <v>68</v>
      </c>
      <c r="CA19" s="10"/>
      <c r="CB19" s="10"/>
      <c r="CC19" s="10"/>
      <c r="CD19" s="10"/>
      <c r="CE19" s="10"/>
      <c r="CF19" s="10"/>
      <c r="CG19" s="10"/>
      <c r="CH19" s="10"/>
      <c r="CI19" s="10"/>
      <c r="CY19" s="10"/>
      <c r="DA19" s="10"/>
      <c r="DB19" s="51">
        <v>2</v>
      </c>
      <c r="DC19" s="54">
        <v>2</v>
      </c>
      <c r="DD19" s="54">
        <f t="shared" si="6"/>
        <v>4</v>
      </c>
      <c r="DE19" s="55">
        <f t="shared" si="7"/>
        <v>1.6235227537534538</v>
      </c>
      <c r="DF19" s="55">
        <f t="shared" si="8"/>
        <v>33.29453838293912</v>
      </c>
      <c r="DG19" s="52">
        <f t="shared" si="9"/>
        <v>4285</v>
      </c>
      <c r="DH19" s="52">
        <f t="shared" si="10"/>
        <v>5396</v>
      </c>
      <c r="DI19" s="52">
        <f t="shared" si="11"/>
        <v>6956.79499983355</v>
      </c>
      <c r="DJ19" s="52">
        <f t="shared" si="12"/>
        <v>-1560.7949998335498</v>
      </c>
      <c r="DK19" s="52">
        <f t="shared" si="13"/>
        <v>65.45991139621256</v>
      </c>
      <c r="DL19" s="56">
        <f t="shared" si="14"/>
        <v>-0.7161392119557857</v>
      </c>
      <c r="DM19" s="10"/>
      <c r="DY19">
        <f t="shared" si="15"/>
        <v>2000002</v>
      </c>
      <c r="EA19" s="10"/>
      <c r="EB19" s="51">
        <v>2</v>
      </c>
      <c r="EC19" s="54">
        <v>2</v>
      </c>
      <c r="ED19" s="52">
        <f t="shared" si="16"/>
        <v>4285</v>
      </c>
      <c r="EE19" s="52">
        <f t="shared" si="17"/>
        <v>5396</v>
      </c>
      <c r="EF19" s="55">
        <f t="shared" si="18"/>
        <v>1.2592765460910151</v>
      </c>
      <c r="EG19" s="57" t="s">
        <v>13</v>
      </c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FD19" t="s">
        <v>72</v>
      </c>
      <c r="FE19">
        <f>FE9</f>
        <v>1</v>
      </c>
      <c r="FI19" s="60"/>
      <c r="FO19" t="s">
        <v>72</v>
      </c>
      <c r="FP19">
        <f>FP9</f>
        <v>0</v>
      </c>
      <c r="FT19" s="60"/>
      <c r="FZ19">
        <f t="shared" si="28"/>
        <v>10</v>
      </c>
      <c r="GA19">
        <f t="shared" si="42"/>
        <v>3628800</v>
      </c>
      <c r="GB19" s="13">
        <v>10</v>
      </c>
      <c r="GC19">
        <v>1</v>
      </c>
      <c r="GD19">
        <f t="shared" si="29"/>
        <v>10</v>
      </c>
      <c r="GE19">
        <f t="shared" si="34"/>
        <v>45</v>
      </c>
      <c r="GF19">
        <f t="shared" si="43"/>
        <v>120</v>
      </c>
      <c r="GG19">
        <f t="shared" si="45"/>
        <v>210</v>
      </c>
      <c r="GH19">
        <f t="shared" si="46"/>
        <v>252</v>
      </c>
      <c r="GI19">
        <f>VLOOKUP($GB19,$FZ$9:$GA$19,2)/VLOOKUP(GI$8,$FZ$9:$GA$19,2)/VLOOKUP($GB19-GI$8,$FZ$9:$GA$19,2)</f>
        <v>210</v>
      </c>
      <c r="GJ19">
        <f>VLOOKUP($GB19,$FZ$9:$GA$19,2)/VLOOKUP(GJ$8,$FZ$9:$GA$19,2)/VLOOKUP($GB19-GJ$8,$FZ$9:$GA$19,2)</f>
        <v>120</v>
      </c>
      <c r="GK19">
        <f>VLOOKUP($GB19,$FZ$9:$GA$19,2)/VLOOKUP(GK$8,$FZ$9:$GA$19,2)/VLOOKUP($GB19-GK$8,$FZ$9:$GA$19,2)</f>
        <v>45</v>
      </c>
      <c r="GL19">
        <f>VLOOKUP($GB19,$FZ$9:$GA$19,2)/VLOOKUP(GL$8,$FZ$9:$GA$19,2)/VLOOKUP($GB19-GL$8,$FZ$9:$GA$19,2)</f>
        <v>10</v>
      </c>
      <c r="GM19">
        <f>VLOOKUP($GB19,$FZ$9:$GA$19,2)/VLOOKUP(GM$8,$FZ$9:$GA$19,2)/VLOOKUP($GB19-GM$8,$FZ$9:$GA$19,2)</f>
        <v>1</v>
      </c>
      <c r="GY19" t="s">
        <v>73</v>
      </c>
      <c r="HA19" s="66">
        <v>9</v>
      </c>
      <c r="HB19" s="67">
        <f t="shared" si="35"/>
        <v>3133</v>
      </c>
      <c r="HC19" s="67">
        <f t="shared" si="36"/>
        <v>5395</v>
      </c>
      <c r="HD19" s="68">
        <f t="shared" si="37"/>
        <v>-1551.6165597083673</v>
      </c>
      <c r="HE19" s="10"/>
    </row>
    <row r="20" spans="1:213" ht="12" customHeight="1" thickBot="1" thickTop="1">
      <c r="A20" s="7" t="s">
        <v>74</v>
      </c>
      <c r="B20" s="7" t="s">
        <v>75</v>
      </c>
      <c r="C20" s="7"/>
      <c r="D20" s="7"/>
      <c r="E20" s="7"/>
      <c r="F20" s="7"/>
      <c r="G20" s="7"/>
      <c r="H20" s="7"/>
      <c r="I20" s="7"/>
      <c r="J20" s="7"/>
      <c r="K20" s="7"/>
      <c r="L20" s="76" t="s">
        <v>76</v>
      </c>
      <c r="M20" s="62">
        <f>SUM(M9:M18)</f>
        <v>52135.228261210155</v>
      </c>
      <c r="N20" s="62">
        <f>L73</f>
        <v>26909.01115564366</v>
      </c>
      <c r="O20" s="63">
        <f>N20/M20</f>
        <v>0.5161387425182639</v>
      </c>
      <c r="R20" s="77">
        <f>SUM(R9:R17)/9</f>
        <v>8.206099279541355</v>
      </c>
      <c r="V20" s="77">
        <f>SUM(V9:V17)/SUM(W9:W17)</f>
        <v>2.217241161732642</v>
      </c>
      <c r="Z20" s="13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X20" t="s">
        <v>69</v>
      </c>
      <c r="BY20" t="s">
        <v>69</v>
      </c>
      <c r="CA20" s="11" t="s">
        <v>77</v>
      </c>
      <c r="CB20" s="10"/>
      <c r="CC20" s="10"/>
      <c r="CD20" s="10"/>
      <c r="CE20" s="10"/>
      <c r="CF20" s="10"/>
      <c r="CG20" s="10"/>
      <c r="CH20" s="64"/>
      <c r="CI20" s="10"/>
      <c r="CY20" s="10"/>
      <c r="DA20" s="10"/>
      <c r="DB20" s="51">
        <v>3</v>
      </c>
      <c r="DC20" s="54">
        <v>2</v>
      </c>
      <c r="DD20" s="54">
        <f t="shared" si="6"/>
        <v>5</v>
      </c>
      <c r="DE20" s="55">
        <f t="shared" si="7"/>
        <v>1.6235227537534538</v>
      </c>
      <c r="DF20" s="55">
        <f t="shared" si="8"/>
        <v>33.29453838293912</v>
      </c>
      <c r="DG20" s="52">
        <f t="shared" si="9"/>
        <v>8992</v>
      </c>
      <c r="DH20" s="52">
        <f t="shared" si="10"/>
        <v>13873</v>
      </c>
      <c r="DI20" s="52">
        <f t="shared" si="11"/>
        <v>14598.716601751057</v>
      </c>
      <c r="DJ20" s="52">
        <f t="shared" si="12"/>
        <v>-725.7166017510572</v>
      </c>
      <c r="DK20" s="52">
        <f t="shared" si="13"/>
        <v>94.82615672903758</v>
      </c>
      <c r="DL20" s="56">
        <f t="shared" si="14"/>
        <v>-0.2298613278741714</v>
      </c>
      <c r="DM20" s="10"/>
      <c r="DY20">
        <f t="shared" si="15"/>
        <v>2000003</v>
      </c>
      <c r="EA20" s="10"/>
      <c r="EB20" s="51">
        <v>3</v>
      </c>
      <c r="EC20" s="54">
        <v>2</v>
      </c>
      <c r="ED20" s="52">
        <f t="shared" si="16"/>
        <v>8992</v>
      </c>
      <c r="EE20" s="52">
        <f t="shared" si="17"/>
        <v>13873</v>
      </c>
      <c r="EF20" s="55">
        <f t="shared" si="18"/>
        <v>1.5428158362989324</v>
      </c>
      <c r="EG20" s="57" t="s">
        <v>13</v>
      </c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FD20" t="s">
        <v>78</v>
      </c>
      <c r="FE20">
        <f>FE10+FF9</f>
        <v>1</v>
      </c>
      <c r="FI20" s="60"/>
      <c r="FO20" t="s">
        <v>78</v>
      </c>
      <c r="FP20">
        <f>FP10+FQ9</f>
        <v>1</v>
      </c>
      <c r="FT20" s="60"/>
      <c r="GG20" s="60"/>
      <c r="HA20" s="10"/>
      <c r="HB20" s="10"/>
      <c r="HC20" s="10"/>
      <c r="HD20" s="10"/>
      <c r="HE20" s="10"/>
    </row>
    <row r="21" spans="1:213" ht="12" customHeight="1" thickBot="1" thickTop="1">
      <c r="A21" s="14" t="s">
        <v>22</v>
      </c>
      <c r="B21" s="7">
        <v>1</v>
      </c>
      <c r="C21" s="7">
        <v>2</v>
      </c>
      <c r="D21" s="7">
        <v>3</v>
      </c>
      <c r="E21" s="7">
        <v>4</v>
      </c>
      <c r="F21" s="7">
        <v>5</v>
      </c>
      <c r="G21" s="7">
        <v>6</v>
      </c>
      <c r="H21" s="7">
        <v>7</v>
      </c>
      <c r="I21" s="7">
        <v>8</v>
      </c>
      <c r="J21" s="7">
        <v>9</v>
      </c>
      <c r="K21" s="78"/>
      <c r="L21" s="7"/>
      <c r="M21" s="7"/>
      <c r="N21" s="7"/>
      <c r="O21" s="7"/>
      <c r="Z21" s="13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O21" s="13"/>
      <c r="BP21" s="13"/>
      <c r="BQ21" s="13"/>
      <c r="BR21" s="13"/>
      <c r="BS21" s="13"/>
      <c r="BT21" s="13"/>
      <c r="BU21" s="13"/>
      <c r="BV21" s="13"/>
      <c r="BX21" t="s">
        <v>73</v>
      </c>
      <c r="BY21" t="s">
        <v>73</v>
      </c>
      <c r="CA21" s="10"/>
      <c r="CB21" s="10"/>
      <c r="CC21" s="10"/>
      <c r="CD21" s="10"/>
      <c r="CE21" s="10"/>
      <c r="CF21" s="10"/>
      <c r="CG21" s="10"/>
      <c r="CH21" s="10"/>
      <c r="CI21" s="10"/>
      <c r="CY21" s="10"/>
      <c r="DA21" s="10"/>
      <c r="DB21" s="51">
        <v>4</v>
      </c>
      <c r="DC21" s="54">
        <v>2</v>
      </c>
      <c r="DD21" s="54">
        <f t="shared" si="6"/>
        <v>6</v>
      </c>
      <c r="DE21" s="55">
        <f t="shared" si="7"/>
        <v>1.6235227537534538</v>
      </c>
      <c r="DF21" s="55">
        <f t="shared" si="8"/>
        <v>33.29453838293912</v>
      </c>
      <c r="DG21" s="52">
        <f t="shared" si="9"/>
        <v>11555</v>
      </c>
      <c r="DH21" s="52">
        <f t="shared" si="10"/>
        <v>15766</v>
      </c>
      <c r="DI21" s="52">
        <f t="shared" si="11"/>
        <v>18759.80541962116</v>
      </c>
      <c r="DJ21" s="52">
        <f t="shared" si="12"/>
        <v>-2993.8054196211597</v>
      </c>
      <c r="DK21" s="52">
        <f t="shared" si="13"/>
        <v>107.49418588928427</v>
      </c>
      <c r="DL21" s="56">
        <f t="shared" si="14"/>
        <v>-0.8364993299233047</v>
      </c>
      <c r="DM21" s="10"/>
      <c r="DY21">
        <f t="shared" si="15"/>
        <v>2000004</v>
      </c>
      <c r="EA21" s="10"/>
      <c r="EB21" s="51">
        <v>4</v>
      </c>
      <c r="EC21" s="54">
        <v>2</v>
      </c>
      <c r="ED21" s="52">
        <f t="shared" si="16"/>
        <v>11555</v>
      </c>
      <c r="EE21" s="52">
        <f t="shared" si="17"/>
        <v>15766</v>
      </c>
      <c r="EF21" s="55">
        <f t="shared" si="18"/>
        <v>1.3644309822587624</v>
      </c>
      <c r="EG21" s="57" t="s">
        <v>13</v>
      </c>
      <c r="EI21" s="10"/>
      <c r="EJ21" s="79" t="s">
        <v>79</v>
      </c>
      <c r="EK21" s="80" t="s">
        <v>80</v>
      </c>
      <c r="EL21" s="81"/>
      <c r="EM21" s="80" t="s">
        <v>81</v>
      </c>
      <c r="EN21" s="81"/>
      <c r="EO21" s="80" t="s">
        <v>82</v>
      </c>
      <c r="EP21" s="81"/>
      <c r="EQ21" s="82" t="s">
        <v>57</v>
      </c>
      <c r="ER21" s="82" t="s">
        <v>37</v>
      </c>
      <c r="ES21" s="83" t="s">
        <v>83</v>
      </c>
      <c r="ET21" s="84" t="s">
        <v>84</v>
      </c>
      <c r="EU21" s="10"/>
      <c r="EV21" t="s">
        <v>85</v>
      </c>
      <c r="FD21" t="s">
        <v>86</v>
      </c>
      <c r="FE21">
        <f>FE11+FF10+FG9</f>
        <v>3</v>
      </c>
      <c r="FI21" s="60"/>
      <c r="FO21" t="s">
        <v>86</v>
      </c>
      <c r="FP21">
        <f>FP11+FQ10+FR9</f>
        <v>0</v>
      </c>
      <c r="FT21" s="60"/>
      <c r="GG21" s="60"/>
      <c r="HA21" s="10"/>
      <c r="HB21" s="10"/>
      <c r="HC21" s="10"/>
      <c r="HD21" s="10"/>
      <c r="HE21" s="10"/>
    </row>
    <row r="22" spans="1:217" ht="12" customHeight="1" thickTop="1">
      <c r="A22" s="14">
        <v>1</v>
      </c>
      <c r="B22" s="78">
        <f>SUM(C9:C17)/SUM(B9:B17)</f>
        <v>2.9993586513353794</v>
      </c>
      <c r="C22" s="78">
        <f>SUM(D9:D16)/SUM(C9:C16)</f>
        <v>1.6235227537534538</v>
      </c>
      <c r="D22" s="78">
        <f>SUM(E9:E15)/SUM(D9:D15)</f>
        <v>1.2708881150356526</v>
      </c>
      <c r="E22" s="78">
        <f>SUM(F9:F14)/SUM(E9:E14)</f>
        <v>1.1716746330883747</v>
      </c>
      <c r="F22" s="78">
        <f>SUM(G9:G13)/SUM(F9:F13)</f>
        <v>1.113384886206463</v>
      </c>
      <c r="G22" s="78">
        <f>SUM(H9:H12)/SUM(G9:G12)</f>
        <v>1.0419346379110106</v>
      </c>
      <c r="H22" s="78">
        <f>SUM(I9:I11)/SUM(H9:H11)</f>
        <v>1.033263553789384</v>
      </c>
      <c r="I22" s="78">
        <f>SUM(J9:J10)/SUM(I9:I10)</f>
        <v>1.0169364810075625</v>
      </c>
      <c r="J22" s="78">
        <f>SUM(K9)/SUM(J9)</f>
        <v>1.0092165898617511</v>
      </c>
      <c r="K22" s="7"/>
      <c r="L22" s="7"/>
      <c r="M22" s="7"/>
      <c r="N22" s="7"/>
      <c r="O22" s="7"/>
      <c r="Z22" s="13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CA22" s="29" t="s">
        <v>87</v>
      </c>
      <c r="CB22" s="30">
        <f>B22</f>
        <v>2.9993586513353794</v>
      </c>
      <c r="CC22" s="29" t="s">
        <v>88</v>
      </c>
      <c r="CD22" s="30">
        <f>B47^0.5</f>
        <v>166.9834704216068</v>
      </c>
      <c r="CE22" s="10"/>
      <c r="CF22" s="10"/>
      <c r="CG22" s="10"/>
      <c r="CH22" s="10"/>
      <c r="CI22" s="10"/>
      <c r="CY22" s="10"/>
      <c r="DA22" s="10"/>
      <c r="DB22" s="51">
        <v>5</v>
      </c>
      <c r="DC22" s="54">
        <v>2</v>
      </c>
      <c r="DD22" s="54">
        <f t="shared" si="6"/>
        <v>7</v>
      </c>
      <c r="DE22" s="55">
        <f t="shared" si="7"/>
        <v>1.6235227537534538</v>
      </c>
      <c r="DF22" s="55">
        <f t="shared" si="8"/>
        <v>33.29453838293912</v>
      </c>
      <c r="DG22" s="52">
        <f t="shared" si="9"/>
        <v>9565</v>
      </c>
      <c r="DH22" s="52">
        <f t="shared" si="10"/>
        <v>15836</v>
      </c>
      <c r="DI22" s="52">
        <f t="shared" si="11"/>
        <v>15528.995139651786</v>
      </c>
      <c r="DJ22" s="52">
        <f t="shared" si="12"/>
        <v>307.0048603482137</v>
      </c>
      <c r="DK22" s="52">
        <f t="shared" si="13"/>
        <v>97.8008179924892</v>
      </c>
      <c r="DL22" s="56">
        <f t="shared" si="14"/>
        <v>0.09428221260611679</v>
      </c>
      <c r="DM22" s="10"/>
      <c r="DY22">
        <f t="shared" si="15"/>
        <v>2000005</v>
      </c>
      <c r="EA22" s="10"/>
      <c r="EB22" s="51">
        <v>5</v>
      </c>
      <c r="EC22" s="54">
        <v>2</v>
      </c>
      <c r="ED22" s="52">
        <f t="shared" si="16"/>
        <v>9565</v>
      </c>
      <c r="EE22" s="52">
        <f t="shared" si="17"/>
        <v>15836</v>
      </c>
      <c r="EF22" s="55">
        <f t="shared" si="18"/>
        <v>1.6556194458964977</v>
      </c>
      <c r="EG22" s="57" t="s">
        <v>14</v>
      </c>
      <c r="EI22" s="10"/>
      <c r="EJ22" s="51">
        <v>2</v>
      </c>
      <c r="EK22" s="85">
        <f aca="true" t="shared" si="47" ref="EK22:EK29">FE20</f>
        <v>1</v>
      </c>
      <c r="EL22" s="86"/>
      <c r="EM22" s="85">
        <f aca="true" t="shared" si="48" ref="EM22:EM29">FP20</f>
        <v>1</v>
      </c>
      <c r="EN22" s="86"/>
      <c r="EO22" s="85">
        <f aca="true" t="shared" si="49" ref="EO22:EO29">MINA(EM22,EK22)</f>
        <v>1</v>
      </c>
      <c r="EP22" s="86"/>
      <c r="EQ22" s="54">
        <f aca="true" t="shared" si="50" ref="EQ22:EQ29">EK22+EM22</f>
        <v>2</v>
      </c>
      <c r="ER22" s="54">
        <f aca="true" t="shared" si="51" ref="ER22:ER29">(EQ22-1)/2</f>
        <v>0.5</v>
      </c>
      <c r="ES22" s="55">
        <f aca="true" t="shared" si="52" ref="ES22:ES29">EQ22/2-EV22*EQ22/(2^EQ22)</f>
        <v>0.5</v>
      </c>
      <c r="ET22" s="56">
        <f aca="true" t="shared" si="53" ref="ET22:ET29">EQ22*(EQ22-1)/4-EV22*EQ22*(EQ22-1)/(2^EQ22)+ES22-ES22^2</f>
        <v>0.25</v>
      </c>
      <c r="EU22" s="10"/>
      <c r="EV22" s="30">
        <f aca="true" t="shared" si="54" ref="EV22:EV29">VLOOKUP(EQ22-1,$GB$9:$GL$19,ER22+1+1)</f>
        <v>1</v>
      </c>
      <c r="FD22" t="s">
        <v>89</v>
      </c>
      <c r="FE22">
        <f>FE12+FF11+FG10+FH9</f>
        <v>3</v>
      </c>
      <c r="FI22" s="60"/>
      <c r="FO22" t="s">
        <v>89</v>
      </c>
      <c r="FP22">
        <f>FP12+FQ11+FR10+FS9</f>
        <v>1</v>
      </c>
      <c r="FT22" s="60"/>
      <c r="GG22" s="60"/>
      <c r="HB22" s="10"/>
      <c r="HC22" s="10"/>
      <c r="HD22" s="10"/>
      <c r="HE22" s="10"/>
      <c r="HH22" s="10"/>
      <c r="HI22" s="10"/>
    </row>
    <row r="23" spans="1:209" ht="12" customHeight="1" thickBot="1">
      <c r="A23" s="14" t="s">
        <v>90</v>
      </c>
      <c r="B23" s="78">
        <f aca="true" t="shared" si="55" ref="B23:I23">+C23*B22</f>
        <v>8.920233896752476</v>
      </c>
      <c r="C23" s="78">
        <f t="shared" si="55"/>
        <v>2.9740470992960426</v>
      </c>
      <c r="D23" s="78">
        <f t="shared" si="55"/>
        <v>1.8318481169544962</v>
      </c>
      <c r="E23" s="78">
        <f t="shared" si="55"/>
        <v>1.441392121998959</v>
      </c>
      <c r="F23" s="78">
        <f t="shared" si="55"/>
        <v>1.2301982831186211</v>
      </c>
      <c r="G23" s="78">
        <f t="shared" si="55"/>
        <v>1.104917354599779</v>
      </c>
      <c r="H23" s="78">
        <f t="shared" si="55"/>
        <v>1.0604478576650866</v>
      </c>
      <c r="I23" s="78">
        <f t="shared" si="55"/>
        <v>1.0263091674684617</v>
      </c>
      <c r="J23" s="78">
        <f>+J22</f>
        <v>1.0092165898617511</v>
      </c>
      <c r="K23" s="7"/>
      <c r="L23" s="7"/>
      <c r="M23" s="7"/>
      <c r="N23" s="7"/>
      <c r="O23" s="7"/>
      <c r="Z23" s="13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CA23" s="10"/>
      <c r="CB23" s="10"/>
      <c r="CC23" s="10"/>
      <c r="CD23" s="10"/>
      <c r="CE23" s="10"/>
      <c r="CF23" s="10"/>
      <c r="CG23" s="10"/>
      <c r="CH23" s="10"/>
      <c r="CI23" s="10"/>
      <c r="CY23" s="10"/>
      <c r="DA23" s="10"/>
      <c r="DB23" s="51">
        <v>6</v>
      </c>
      <c r="DC23" s="54">
        <v>2</v>
      </c>
      <c r="DD23" s="54">
        <f t="shared" si="6"/>
        <v>8</v>
      </c>
      <c r="DE23" s="55">
        <f t="shared" si="7"/>
        <v>1.6235227537534538</v>
      </c>
      <c r="DF23" s="55">
        <f t="shared" si="8"/>
        <v>33.29453838293912</v>
      </c>
      <c r="DG23" s="52">
        <f t="shared" si="9"/>
        <v>6445</v>
      </c>
      <c r="DH23" s="52">
        <f t="shared" si="10"/>
        <v>11702</v>
      </c>
      <c r="DI23" s="52">
        <f t="shared" si="11"/>
        <v>10463.60414794101</v>
      </c>
      <c r="DJ23" s="52">
        <f t="shared" si="12"/>
        <v>1238.3958520589895</v>
      </c>
      <c r="DK23" s="52">
        <f t="shared" si="13"/>
        <v>80.2807573457052</v>
      </c>
      <c r="DL23" s="56">
        <f t="shared" si="14"/>
        <v>0.4633135801042303</v>
      </c>
      <c r="DM23" s="10"/>
      <c r="DY23">
        <f t="shared" si="15"/>
        <v>2000006</v>
      </c>
      <c r="EA23" s="10"/>
      <c r="EB23" s="51">
        <v>6</v>
      </c>
      <c r="EC23" s="54">
        <v>2</v>
      </c>
      <c r="ED23" s="52">
        <f t="shared" si="16"/>
        <v>6445</v>
      </c>
      <c r="EE23" s="52">
        <f t="shared" si="17"/>
        <v>11702</v>
      </c>
      <c r="EF23" s="55">
        <f t="shared" si="18"/>
        <v>1.8156710628394104</v>
      </c>
      <c r="EG23" s="57" t="s">
        <v>14</v>
      </c>
      <c r="EI23" s="10"/>
      <c r="EJ23" s="51">
        <v>3</v>
      </c>
      <c r="EK23" s="85">
        <f t="shared" si="47"/>
        <v>3</v>
      </c>
      <c r="EL23" s="86"/>
      <c r="EM23" s="85">
        <f t="shared" si="48"/>
        <v>0</v>
      </c>
      <c r="EN23" s="86"/>
      <c r="EO23" s="85">
        <f t="shared" si="49"/>
        <v>0</v>
      </c>
      <c r="EP23" s="86"/>
      <c r="EQ23" s="54">
        <f t="shared" si="50"/>
        <v>3</v>
      </c>
      <c r="ER23" s="54">
        <f t="shared" si="51"/>
        <v>1</v>
      </c>
      <c r="ES23" s="55">
        <f t="shared" si="52"/>
        <v>0.75</v>
      </c>
      <c r="ET23" s="56">
        <f t="shared" si="53"/>
        <v>0.1875</v>
      </c>
      <c r="EU23" s="10"/>
      <c r="EV23" s="30">
        <f t="shared" si="54"/>
        <v>2</v>
      </c>
      <c r="FD23" t="s">
        <v>91</v>
      </c>
      <c r="FE23">
        <f>FE13+FF12+FG11+FH10+FI9</f>
        <v>1</v>
      </c>
      <c r="FI23" s="60"/>
      <c r="FO23" t="s">
        <v>91</v>
      </c>
      <c r="FP23">
        <f>FP13+FQ12+FR11+FS10+FT9</f>
        <v>3</v>
      </c>
      <c r="FT23" s="60"/>
      <c r="GG23" s="60"/>
      <c r="HA23" s="11" t="s">
        <v>92</v>
      </c>
    </row>
    <row r="24" spans="1:217" ht="12" customHeight="1" thickTop="1">
      <c r="A24" s="14"/>
      <c r="B24" s="78"/>
      <c r="C24" s="78"/>
      <c r="D24" s="78"/>
      <c r="E24" s="78"/>
      <c r="F24" s="78"/>
      <c r="G24" s="78"/>
      <c r="H24" s="78"/>
      <c r="I24" s="78"/>
      <c r="J24" s="78"/>
      <c r="K24" s="7"/>
      <c r="L24" s="7"/>
      <c r="M24" s="7"/>
      <c r="N24" s="7"/>
      <c r="O24" s="7"/>
      <c r="Z24" s="13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CA24" s="10"/>
      <c r="CB24" s="20"/>
      <c r="CC24" s="22"/>
      <c r="CD24" s="22"/>
      <c r="CE24" s="22" t="s">
        <v>93</v>
      </c>
      <c r="CF24" s="22"/>
      <c r="CG24" s="22"/>
      <c r="CH24" s="23"/>
      <c r="CI24" s="10"/>
      <c r="CY24" s="10"/>
      <c r="DA24" s="10"/>
      <c r="DB24" s="51">
        <v>7</v>
      </c>
      <c r="DC24" s="54">
        <v>2</v>
      </c>
      <c r="DD24" s="54">
        <f t="shared" si="6"/>
        <v>9</v>
      </c>
      <c r="DE24" s="55">
        <f t="shared" si="7"/>
        <v>1.6235227537534538</v>
      </c>
      <c r="DF24" s="55">
        <f t="shared" si="8"/>
        <v>33.29453838293912</v>
      </c>
      <c r="DG24" s="52">
        <f t="shared" si="9"/>
        <v>4020</v>
      </c>
      <c r="DH24" s="52">
        <f t="shared" si="10"/>
        <v>10946</v>
      </c>
      <c r="DI24" s="52">
        <f t="shared" si="11"/>
        <v>6526.561470088885</v>
      </c>
      <c r="DJ24" s="52">
        <f t="shared" si="12"/>
        <v>4419.438529911115</v>
      </c>
      <c r="DK24" s="52">
        <f t="shared" si="13"/>
        <v>63.40346993658943</v>
      </c>
      <c r="DL24" s="56">
        <f t="shared" si="14"/>
        <v>2.093539084495884</v>
      </c>
      <c r="DM24" s="10"/>
      <c r="DY24">
        <f t="shared" si="15"/>
        <v>2000007</v>
      </c>
      <c r="EA24" s="10"/>
      <c r="EB24" s="51">
        <v>7</v>
      </c>
      <c r="EC24" s="54">
        <v>2</v>
      </c>
      <c r="ED24" s="52">
        <f t="shared" si="16"/>
        <v>4020</v>
      </c>
      <c r="EE24" s="52">
        <f t="shared" si="17"/>
        <v>10946</v>
      </c>
      <c r="EF24" s="55">
        <f t="shared" si="18"/>
        <v>2.7228855721393033</v>
      </c>
      <c r="EG24" s="57" t="s">
        <v>14</v>
      </c>
      <c r="EI24" s="10"/>
      <c r="EJ24" s="51">
        <v>4</v>
      </c>
      <c r="EK24" s="85">
        <f t="shared" si="47"/>
        <v>3</v>
      </c>
      <c r="EL24" s="86"/>
      <c r="EM24" s="85">
        <f t="shared" si="48"/>
        <v>1</v>
      </c>
      <c r="EN24" s="86"/>
      <c r="EO24" s="85">
        <f t="shared" si="49"/>
        <v>1</v>
      </c>
      <c r="EP24" s="86"/>
      <c r="EQ24" s="54">
        <f t="shared" si="50"/>
        <v>4</v>
      </c>
      <c r="ER24" s="54">
        <f t="shared" si="51"/>
        <v>1.5</v>
      </c>
      <c r="ES24" s="55">
        <f t="shared" si="52"/>
        <v>1.25</v>
      </c>
      <c r="ET24" s="56">
        <f t="shared" si="53"/>
        <v>0.4375</v>
      </c>
      <c r="EU24" s="10"/>
      <c r="EV24" s="30">
        <f t="shared" si="54"/>
        <v>3</v>
      </c>
      <c r="FD24" t="s">
        <v>94</v>
      </c>
      <c r="FE24">
        <f>FE14+FF13+FG12+FH11+FI10+FJ9</f>
        <v>1</v>
      </c>
      <c r="FI24" s="60"/>
      <c r="FO24" t="s">
        <v>94</v>
      </c>
      <c r="FP24">
        <f>FP14+FQ13+FR12+FS11+FT10+FU9</f>
        <v>3</v>
      </c>
      <c r="FT24" s="60"/>
      <c r="GG24" s="60"/>
      <c r="HB24" s="10"/>
      <c r="HC24" s="10"/>
      <c r="HD24" s="10"/>
      <c r="HE24" s="10"/>
      <c r="HH24" s="10"/>
      <c r="HI24" s="10"/>
    </row>
    <row r="25" spans="1:217" ht="12" customHeight="1" thickBot="1">
      <c r="A25" s="7" t="s">
        <v>95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Z25" s="13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CA25" s="10"/>
      <c r="CB25" s="87"/>
      <c r="CC25" s="88" t="s">
        <v>43</v>
      </c>
      <c r="CD25" s="88" t="s">
        <v>44</v>
      </c>
      <c r="CE25" s="88" t="s">
        <v>96</v>
      </c>
      <c r="CF25" s="88" t="s">
        <v>97</v>
      </c>
      <c r="CG25" s="88" t="s">
        <v>98</v>
      </c>
      <c r="CH25" s="89" t="s">
        <v>99</v>
      </c>
      <c r="CI25" s="10"/>
      <c r="CY25" s="10"/>
      <c r="DA25" s="10"/>
      <c r="DB25" s="51">
        <v>8</v>
      </c>
      <c r="DC25" s="54">
        <v>2</v>
      </c>
      <c r="DD25" s="54">
        <f t="shared" si="6"/>
        <v>10</v>
      </c>
      <c r="DE25" s="55">
        <f t="shared" si="7"/>
        <v>1.6235227537534538</v>
      </c>
      <c r="DF25" s="55">
        <f t="shared" si="8"/>
        <v>33.29453838293912</v>
      </c>
      <c r="DG25" s="52">
        <f t="shared" si="9"/>
        <v>6947</v>
      </c>
      <c r="DH25" s="52">
        <f t="shared" si="10"/>
        <v>13112</v>
      </c>
      <c r="DI25" s="52">
        <f t="shared" si="11"/>
        <v>11278.612570325244</v>
      </c>
      <c r="DJ25" s="52">
        <f t="shared" si="12"/>
        <v>1833.3874296747563</v>
      </c>
      <c r="DK25" s="52">
        <f t="shared" si="13"/>
        <v>83.34866525625951</v>
      </c>
      <c r="DL25" s="56">
        <f t="shared" si="14"/>
        <v>0.6606669808902458</v>
      </c>
      <c r="DM25" s="10"/>
      <c r="DY25">
        <f t="shared" si="15"/>
        <v>2000008</v>
      </c>
      <c r="EA25" s="10"/>
      <c r="EB25" s="66">
        <v>8</v>
      </c>
      <c r="EC25" s="69">
        <v>2</v>
      </c>
      <c r="ED25" s="67">
        <f t="shared" si="16"/>
        <v>6947</v>
      </c>
      <c r="EE25" s="67">
        <f t="shared" si="17"/>
        <v>13112</v>
      </c>
      <c r="EF25" s="70">
        <f t="shared" si="18"/>
        <v>1.8874334244997841</v>
      </c>
      <c r="EG25" s="71" t="s">
        <v>14</v>
      </c>
      <c r="EI25" s="10"/>
      <c r="EJ25" s="51">
        <v>5</v>
      </c>
      <c r="EK25" s="85">
        <f t="shared" si="47"/>
        <v>1</v>
      </c>
      <c r="EL25" s="86"/>
      <c r="EM25" s="85">
        <f t="shared" si="48"/>
        <v>3</v>
      </c>
      <c r="EN25" s="86"/>
      <c r="EO25" s="85">
        <f t="shared" si="49"/>
        <v>1</v>
      </c>
      <c r="EP25" s="86"/>
      <c r="EQ25" s="54">
        <f t="shared" si="50"/>
        <v>4</v>
      </c>
      <c r="ER25" s="54">
        <f t="shared" si="51"/>
        <v>1.5</v>
      </c>
      <c r="ES25" s="55">
        <f t="shared" si="52"/>
        <v>1.25</v>
      </c>
      <c r="ET25" s="56">
        <f t="shared" si="53"/>
        <v>0.4375</v>
      </c>
      <c r="EU25" s="10"/>
      <c r="EV25" s="30">
        <f t="shared" si="54"/>
        <v>3</v>
      </c>
      <c r="FD25" t="s">
        <v>100</v>
      </c>
      <c r="FE25">
        <f>FE15+FF14+FG13+FH12+FI11+FJ10+FK9</f>
        <v>2</v>
      </c>
      <c r="FI25" s="60"/>
      <c r="FO25" t="s">
        <v>100</v>
      </c>
      <c r="FP25">
        <f>FP15+FQ14+FR13+FS12+FT11+FU10+FV9</f>
        <v>4</v>
      </c>
      <c r="FT25" s="60"/>
      <c r="GG25" s="60"/>
      <c r="HA25" s="29" t="s">
        <v>101</v>
      </c>
      <c r="HB25" s="30">
        <f>$B$22</f>
        <v>2.9993586513353794</v>
      </c>
      <c r="HE25" s="10"/>
      <c r="HF25" s="10"/>
      <c r="HG25" s="10"/>
      <c r="HI25" s="10"/>
    </row>
    <row r="26" spans="1:217" ht="12" customHeight="1" thickBot="1" thickTop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Z26" s="13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CA26" s="10"/>
      <c r="CB26" s="35" t="s">
        <v>21</v>
      </c>
      <c r="CC26" s="36" t="s">
        <v>46</v>
      </c>
      <c r="CD26" s="36" t="s">
        <v>47</v>
      </c>
      <c r="CE26" s="36" t="s">
        <v>48</v>
      </c>
      <c r="CF26" s="36" t="s">
        <v>49</v>
      </c>
      <c r="CG26" s="36" t="s">
        <v>50</v>
      </c>
      <c r="CH26" s="39" t="s">
        <v>51</v>
      </c>
      <c r="CI26" s="10"/>
      <c r="CY26" s="10"/>
      <c r="DA26" s="10"/>
      <c r="DB26" s="51">
        <v>1</v>
      </c>
      <c r="DC26" s="54">
        <v>3</v>
      </c>
      <c r="DD26" s="54">
        <f t="shared" si="6"/>
        <v>4</v>
      </c>
      <c r="DE26" s="55">
        <f t="shared" si="7"/>
        <v>1.2708881150356526</v>
      </c>
      <c r="DF26" s="55">
        <f t="shared" si="8"/>
        <v>26.295299666995895</v>
      </c>
      <c r="DG26" s="52">
        <f t="shared" si="9"/>
        <v>10907</v>
      </c>
      <c r="DH26" s="52">
        <f t="shared" si="10"/>
        <v>11805</v>
      </c>
      <c r="DI26" s="52">
        <f t="shared" si="11"/>
        <v>13861.576670693863</v>
      </c>
      <c r="DJ26" s="52">
        <f t="shared" si="12"/>
        <v>-2056.576670693863</v>
      </c>
      <c r="DK26" s="52">
        <f t="shared" si="13"/>
        <v>104.43658362853508</v>
      </c>
      <c r="DL26" s="56">
        <f t="shared" si="14"/>
        <v>-0.7488832619271695</v>
      </c>
      <c r="DM26" s="10"/>
      <c r="DY26">
        <f t="shared" si="15"/>
        <v>3000001</v>
      </c>
      <c r="EA26" s="10"/>
      <c r="EB26" s="51">
        <v>1</v>
      </c>
      <c r="EC26" s="54">
        <v>3</v>
      </c>
      <c r="ED26" s="52">
        <f t="shared" si="16"/>
        <v>10907</v>
      </c>
      <c r="EE26" s="52">
        <f t="shared" si="17"/>
        <v>11805</v>
      </c>
      <c r="EF26" s="55">
        <f t="shared" si="18"/>
        <v>1.0823324470523517</v>
      </c>
      <c r="EG26" s="57" t="s">
        <v>13</v>
      </c>
      <c r="EI26" s="10"/>
      <c r="EJ26" s="51">
        <v>6</v>
      </c>
      <c r="EK26" s="85">
        <f t="shared" si="47"/>
        <v>1</v>
      </c>
      <c r="EL26" s="86"/>
      <c r="EM26" s="85">
        <f t="shared" si="48"/>
        <v>3</v>
      </c>
      <c r="EN26" s="86"/>
      <c r="EO26" s="85">
        <f t="shared" si="49"/>
        <v>1</v>
      </c>
      <c r="EP26" s="86"/>
      <c r="EQ26" s="54">
        <f t="shared" si="50"/>
        <v>4</v>
      </c>
      <c r="ER26" s="54">
        <f t="shared" si="51"/>
        <v>1.5</v>
      </c>
      <c r="ES26" s="55">
        <f t="shared" si="52"/>
        <v>1.25</v>
      </c>
      <c r="ET26" s="56">
        <f t="shared" si="53"/>
        <v>0.4375</v>
      </c>
      <c r="EU26" s="10"/>
      <c r="EV26" s="30">
        <f t="shared" si="54"/>
        <v>3</v>
      </c>
      <c r="FD26" t="s">
        <v>102</v>
      </c>
      <c r="FE26">
        <f>FE16+FF15+FG14+FH13+FI12+FJ11+FK10+FL9</f>
        <v>4</v>
      </c>
      <c r="FI26" s="60"/>
      <c r="FO26" t="s">
        <v>102</v>
      </c>
      <c r="FP26">
        <f>FP16+FQ15+FR14+FS13+FT12+FU11+FV10+FW9</f>
        <v>4</v>
      </c>
      <c r="FT26" s="60"/>
      <c r="GG26" s="60"/>
      <c r="HI26" s="10"/>
    </row>
    <row r="27" spans="1:217" ht="12" customHeight="1" thickTop="1">
      <c r="A27" s="7" t="s">
        <v>103</v>
      </c>
      <c r="B27" s="7"/>
      <c r="C27" s="7"/>
      <c r="D27" s="7" t="s">
        <v>104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Z27" s="13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CA27" s="10"/>
      <c r="CB27" s="51">
        <v>1</v>
      </c>
      <c r="CC27" s="52">
        <f aca="true" t="shared" si="56" ref="CC27:CD35">CB9</f>
        <v>5012</v>
      </c>
      <c r="CD27" s="52">
        <f t="shared" si="56"/>
        <v>8269</v>
      </c>
      <c r="CE27" s="52">
        <f aca="true" t="shared" si="57" ref="CE27:CE35">CC27*$CB$22</f>
        <v>15032.785560492921</v>
      </c>
      <c r="CF27" s="52">
        <f aca="true" t="shared" si="58" ref="CF27:CF35">CD27-CE27</f>
        <v>-6763.785560492921</v>
      </c>
      <c r="CG27" s="52">
        <f aca="true" t="shared" si="59" ref="CG27:CG35">CB9^0.5</f>
        <v>70.79548008171143</v>
      </c>
      <c r="CH27" s="56">
        <f aca="true" t="shared" si="60" ref="CH27:CH35">CF27/CB9^0.5/$B$47^0.5</f>
        <v>-0.5721512041815494</v>
      </c>
      <c r="CI27" s="10"/>
      <c r="CY27" s="10"/>
      <c r="DA27" s="10"/>
      <c r="DB27" s="51">
        <v>2</v>
      </c>
      <c r="DC27" s="54">
        <v>3</v>
      </c>
      <c r="DD27" s="54">
        <f t="shared" si="6"/>
        <v>5</v>
      </c>
      <c r="DE27" s="55">
        <f t="shared" si="7"/>
        <v>1.2708881150356526</v>
      </c>
      <c r="DF27" s="55">
        <f t="shared" si="8"/>
        <v>26.295299666995895</v>
      </c>
      <c r="DG27" s="52">
        <f t="shared" si="9"/>
        <v>5396</v>
      </c>
      <c r="DH27" s="52">
        <f t="shared" si="10"/>
        <v>10666</v>
      </c>
      <c r="DI27" s="52">
        <f t="shared" si="11"/>
        <v>6857.712268732382</v>
      </c>
      <c r="DJ27" s="52">
        <f t="shared" si="12"/>
        <v>3808.2877312676183</v>
      </c>
      <c r="DK27" s="52">
        <f t="shared" si="13"/>
        <v>73.45747068882783</v>
      </c>
      <c r="DL27" s="56">
        <f t="shared" si="14"/>
        <v>1.9715856958970273</v>
      </c>
      <c r="DM27" s="10"/>
      <c r="DY27">
        <f t="shared" si="15"/>
        <v>3000002</v>
      </c>
      <c r="EA27" s="10"/>
      <c r="EB27" s="51">
        <v>2</v>
      </c>
      <c r="EC27" s="54">
        <v>3</v>
      </c>
      <c r="ED27" s="52">
        <f t="shared" si="16"/>
        <v>5396</v>
      </c>
      <c r="EE27" s="52">
        <f t="shared" si="17"/>
        <v>10666</v>
      </c>
      <c r="EF27" s="55">
        <f t="shared" si="18"/>
        <v>1.9766493699036323</v>
      </c>
      <c r="EG27" s="57" t="s">
        <v>14</v>
      </c>
      <c r="EI27" s="10"/>
      <c r="EJ27" s="51">
        <v>7</v>
      </c>
      <c r="EK27" s="85">
        <f t="shared" si="47"/>
        <v>2</v>
      </c>
      <c r="EL27" s="86"/>
      <c r="EM27" s="85">
        <f t="shared" si="48"/>
        <v>4</v>
      </c>
      <c r="EN27" s="86"/>
      <c r="EO27" s="85">
        <f t="shared" si="49"/>
        <v>2</v>
      </c>
      <c r="EP27" s="86"/>
      <c r="EQ27" s="54">
        <f t="shared" si="50"/>
        <v>6</v>
      </c>
      <c r="ER27" s="54">
        <f t="shared" si="51"/>
        <v>2.5</v>
      </c>
      <c r="ES27" s="55">
        <f t="shared" si="52"/>
        <v>2.0625</v>
      </c>
      <c r="ET27" s="56">
        <f t="shared" si="53"/>
        <v>0.62109375</v>
      </c>
      <c r="EU27" s="10"/>
      <c r="EV27" s="30">
        <f t="shared" si="54"/>
        <v>10</v>
      </c>
      <c r="FD27" t="s">
        <v>105</v>
      </c>
      <c r="FE27">
        <f>FE17+FF16+FG15+FH14+FI13+FJ12+FK11+FL10+FM9</f>
        <v>4</v>
      </c>
      <c r="FI27" s="60"/>
      <c r="FO27" t="s">
        <v>105</v>
      </c>
      <c r="FP27">
        <f>FP17+FQ16+FR15+FS14+FT13+FU12+FV11+FW10+FX9</f>
        <v>4</v>
      </c>
      <c r="FT27" s="60"/>
      <c r="GG27" s="60"/>
      <c r="HA27" s="20"/>
      <c r="HB27" s="21"/>
      <c r="HC27" s="22" t="s">
        <v>20</v>
      </c>
      <c r="HD27" s="23"/>
      <c r="HI27" s="10"/>
    </row>
    <row r="28" spans="1:217" ht="12" customHeight="1" thickBo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Z28" s="13"/>
      <c r="AA28" s="2"/>
      <c r="AB28" s="2"/>
      <c r="AC28" s="2"/>
      <c r="AD28" s="2"/>
      <c r="AE28" s="2"/>
      <c r="AF28" s="2"/>
      <c r="AG28" s="2"/>
      <c r="AH28" s="2"/>
      <c r="CA28" s="10"/>
      <c r="CB28" s="51">
        <v>2</v>
      </c>
      <c r="CC28" s="52">
        <f t="shared" si="56"/>
        <v>106</v>
      </c>
      <c r="CD28" s="52">
        <f t="shared" si="56"/>
        <v>4285</v>
      </c>
      <c r="CE28" s="52">
        <f t="shared" si="57"/>
        <v>317.93201704155024</v>
      </c>
      <c r="CF28" s="52">
        <f t="shared" si="58"/>
        <v>3967.0679829584496</v>
      </c>
      <c r="CG28" s="52">
        <f t="shared" si="59"/>
        <v>10.295630140987</v>
      </c>
      <c r="CH28" s="56">
        <f t="shared" si="60"/>
        <v>2.3075080647977186</v>
      </c>
      <c r="CI28" s="10"/>
      <c r="CY28" s="10"/>
      <c r="DA28" s="10"/>
      <c r="DB28" s="51">
        <v>3</v>
      </c>
      <c r="DC28" s="54">
        <v>3</v>
      </c>
      <c r="DD28" s="54">
        <f t="shared" si="6"/>
        <v>6</v>
      </c>
      <c r="DE28" s="55">
        <f t="shared" si="7"/>
        <v>1.2708881150356526</v>
      </c>
      <c r="DF28" s="55">
        <f t="shared" si="8"/>
        <v>26.295299666995895</v>
      </c>
      <c r="DG28" s="52">
        <f t="shared" si="9"/>
        <v>13873</v>
      </c>
      <c r="DH28" s="52">
        <f t="shared" si="10"/>
        <v>16141</v>
      </c>
      <c r="DI28" s="52">
        <f t="shared" si="11"/>
        <v>17631.03081988961</v>
      </c>
      <c r="DJ28" s="52">
        <f t="shared" si="12"/>
        <v>-1490.0308198896091</v>
      </c>
      <c r="DK28" s="52">
        <f t="shared" si="13"/>
        <v>117.78370006074695</v>
      </c>
      <c r="DL28" s="56">
        <f t="shared" si="14"/>
        <v>-0.48109620804550257</v>
      </c>
      <c r="DM28" s="10"/>
      <c r="DY28">
        <f t="shared" si="15"/>
        <v>3000003</v>
      </c>
      <c r="EA28" s="10"/>
      <c r="EB28" s="51">
        <v>3</v>
      </c>
      <c r="EC28" s="54">
        <v>3</v>
      </c>
      <c r="ED28" s="52">
        <f t="shared" si="16"/>
        <v>13873</v>
      </c>
      <c r="EE28" s="52">
        <f t="shared" si="17"/>
        <v>16141</v>
      </c>
      <c r="EF28" s="55">
        <f t="shared" si="18"/>
        <v>1.1634830245801198</v>
      </c>
      <c r="EG28" s="57" t="s">
        <v>64</v>
      </c>
      <c r="EI28" s="10"/>
      <c r="EJ28" s="51">
        <v>8</v>
      </c>
      <c r="EK28" s="85">
        <f t="shared" si="47"/>
        <v>4</v>
      </c>
      <c r="EL28" s="86"/>
      <c r="EM28" s="85">
        <f t="shared" si="48"/>
        <v>4</v>
      </c>
      <c r="EN28" s="86"/>
      <c r="EO28" s="90">
        <f t="shared" si="49"/>
        <v>4</v>
      </c>
      <c r="EP28" s="91"/>
      <c r="EQ28" s="54">
        <f t="shared" si="50"/>
        <v>8</v>
      </c>
      <c r="ER28" s="54">
        <f t="shared" si="51"/>
        <v>3.5</v>
      </c>
      <c r="ES28" s="55">
        <f t="shared" si="52"/>
        <v>2.90625</v>
      </c>
      <c r="ET28" s="56">
        <f t="shared" si="53"/>
        <v>0.8037109375</v>
      </c>
      <c r="EU28" s="10"/>
      <c r="EV28" s="30">
        <f t="shared" si="54"/>
        <v>35</v>
      </c>
      <c r="FI28" s="60"/>
      <c r="FT28" s="60"/>
      <c r="GG28" s="60"/>
      <c r="HA28" s="35" t="s">
        <v>21</v>
      </c>
      <c r="HB28" s="36" t="s">
        <v>43</v>
      </c>
      <c r="HC28" s="36" t="s">
        <v>44</v>
      </c>
      <c r="HD28" s="37" t="s">
        <v>106</v>
      </c>
      <c r="HI28" s="10"/>
    </row>
    <row r="29" spans="1:217" ht="12" customHeight="1" thickBot="1" thickTop="1">
      <c r="A29" s="92" t="s">
        <v>18</v>
      </c>
      <c r="B29" s="7"/>
      <c r="C29" s="7"/>
      <c r="D29" s="7"/>
      <c r="E29" s="7" t="s">
        <v>19</v>
      </c>
      <c r="F29" s="7"/>
      <c r="G29" s="7"/>
      <c r="H29" s="7"/>
      <c r="I29" s="7"/>
      <c r="J29" s="7"/>
      <c r="K29" s="7"/>
      <c r="L29" s="7"/>
      <c r="M29" s="7"/>
      <c r="N29" s="7"/>
      <c r="O29" s="7"/>
      <c r="Z29" s="13"/>
      <c r="AA29" s="2"/>
      <c r="AB29" s="2"/>
      <c r="AC29" s="2"/>
      <c r="AD29" s="2"/>
      <c r="CA29" s="10"/>
      <c r="CB29" s="51">
        <v>3</v>
      </c>
      <c r="CC29" s="52">
        <f t="shared" si="56"/>
        <v>3410</v>
      </c>
      <c r="CD29" s="52">
        <f t="shared" si="56"/>
        <v>8992</v>
      </c>
      <c r="CE29" s="52">
        <f t="shared" si="57"/>
        <v>10227.813001053644</v>
      </c>
      <c r="CF29" s="52">
        <f t="shared" si="58"/>
        <v>-1235.8130010536443</v>
      </c>
      <c r="CG29" s="52">
        <f t="shared" si="59"/>
        <v>58.39520528262573</v>
      </c>
      <c r="CH29" s="56">
        <f t="shared" si="60"/>
        <v>-0.126736610367177</v>
      </c>
      <c r="CI29" s="10"/>
      <c r="CY29" s="10"/>
      <c r="DA29" s="10"/>
      <c r="DB29" s="51">
        <v>4</v>
      </c>
      <c r="DC29" s="54">
        <v>3</v>
      </c>
      <c r="DD29" s="54">
        <f t="shared" si="6"/>
        <v>7</v>
      </c>
      <c r="DE29" s="55">
        <f t="shared" si="7"/>
        <v>1.2708881150356526</v>
      </c>
      <c r="DF29" s="55">
        <f t="shared" si="8"/>
        <v>26.295299666995895</v>
      </c>
      <c r="DG29" s="52">
        <f t="shared" si="9"/>
        <v>15766</v>
      </c>
      <c r="DH29" s="52">
        <f t="shared" si="10"/>
        <v>21266</v>
      </c>
      <c r="DI29" s="52">
        <f t="shared" si="11"/>
        <v>20036.822021652097</v>
      </c>
      <c r="DJ29" s="52">
        <f t="shared" si="12"/>
        <v>1229.1779783479033</v>
      </c>
      <c r="DK29" s="52">
        <f t="shared" si="13"/>
        <v>125.56273332482054</v>
      </c>
      <c r="DL29" s="56">
        <f t="shared" si="14"/>
        <v>0.3722852976530907</v>
      </c>
      <c r="DM29" s="10"/>
      <c r="DY29">
        <f t="shared" si="15"/>
        <v>3000004</v>
      </c>
      <c r="EA29" s="10"/>
      <c r="EB29" s="51">
        <v>4</v>
      </c>
      <c r="EC29" s="54">
        <v>3</v>
      </c>
      <c r="ED29" s="52">
        <f t="shared" si="16"/>
        <v>15766</v>
      </c>
      <c r="EE29" s="52">
        <f t="shared" si="17"/>
        <v>21266</v>
      </c>
      <c r="EF29" s="55">
        <f t="shared" si="18"/>
        <v>1.3488519599137385</v>
      </c>
      <c r="EG29" s="57" t="s">
        <v>14</v>
      </c>
      <c r="EI29" s="10"/>
      <c r="EJ29" s="66">
        <v>9</v>
      </c>
      <c r="EK29" s="93">
        <f t="shared" si="47"/>
        <v>4</v>
      </c>
      <c r="EL29" s="94"/>
      <c r="EM29" s="93">
        <f t="shared" si="48"/>
        <v>4</v>
      </c>
      <c r="EN29" s="94"/>
      <c r="EO29" s="93">
        <f t="shared" si="49"/>
        <v>4</v>
      </c>
      <c r="EP29" s="94"/>
      <c r="EQ29" s="69">
        <f t="shared" si="50"/>
        <v>8</v>
      </c>
      <c r="ER29" s="69">
        <f t="shared" si="51"/>
        <v>3.5</v>
      </c>
      <c r="ES29" s="70">
        <f t="shared" si="52"/>
        <v>2.90625</v>
      </c>
      <c r="ET29" s="95">
        <f t="shared" si="53"/>
        <v>0.8037109375</v>
      </c>
      <c r="EU29" s="10"/>
      <c r="EV29" s="30">
        <f t="shared" si="54"/>
        <v>35</v>
      </c>
      <c r="FD29" t="s">
        <v>107</v>
      </c>
      <c r="FE29">
        <f>SUM(FE19:FE27)-SUM(FE9:FM17)</f>
        <v>0</v>
      </c>
      <c r="FI29" s="60"/>
      <c r="FO29" t="s">
        <v>107</v>
      </c>
      <c r="FP29">
        <f>SUM(FP19:FP27)-SUM(FP9:FX17)</f>
        <v>0</v>
      </c>
      <c r="FT29" s="60"/>
      <c r="GG29" s="60"/>
      <c r="HA29" s="51">
        <v>1</v>
      </c>
      <c r="HB29" s="52">
        <f aca="true" t="shared" si="61" ref="HB29:HC37">HB11</f>
        <v>5012</v>
      </c>
      <c r="HC29" s="52">
        <f t="shared" si="61"/>
        <v>8269</v>
      </c>
      <c r="HD29" s="53">
        <f aca="true" t="shared" si="62" ref="HD29:HD37">(HC29-HB29*$HB$25)/HB29^0.5</f>
        <v>-95.53979368013647</v>
      </c>
      <c r="HI29" s="10"/>
    </row>
    <row r="30" spans="1:217" ht="12" customHeight="1" thickTop="1">
      <c r="A30" s="92" t="s">
        <v>39</v>
      </c>
      <c r="B30" s="14">
        <v>1</v>
      </c>
      <c r="C30" s="14">
        <v>2</v>
      </c>
      <c r="D30" s="14">
        <v>3</v>
      </c>
      <c r="E30" s="14">
        <v>4</v>
      </c>
      <c r="F30" s="14">
        <v>5</v>
      </c>
      <c r="G30" s="14">
        <v>6</v>
      </c>
      <c r="H30" s="14">
        <v>7</v>
      </c>
      <c r="I30" s="14">
        <v>8</v>
      </c>
      <c r="J30" s="14">
        <v>9</v>
      </c>
      <c r="K30" s="14"/>
      <c r="L30" s="7"/>
      <c r="M30" s="7"/>
      <c r="N30" s="7"/>
      <c r="O30" s="7"/>
      <c r="CA30" s="10"/>
      <c r="CB30" s="51">
        <v>4</v>
      </c>
      <c r="CC30" s="52">
        <f t="shared" si="56"/>
        <v>5655</v>
      </c>
      <c r="CD30" s="52">
        <f t="shared" si="56"/>
        <v>11555</v>
      </c>
      <c r="CE30" s="52">
        <f t="shared" si="57"/>
        <v>16961.37317330157</v>
      </c>
      <c r="CF30" s="52">
        <f t="shared" si="58"/>
        <v>-5406.37317330157</v>
      </c>
      <c r="CG30" s="52">
        <f t="shared" si="59"/>
        <v>75.1997340420829</v>
      </c>
      <c r="CH30" s="56">
        <f t="shared" si="60"/>
        <v>-0.43054270201535744</v>
      </c>
      <c r="CI30" s="10"/>
      <c r="CY30" s="10"/>
      <c r="DA30" s="10"/>
      <c r="DB30" s="51">
        <v>5</v>
      </c>
      <c r="DC30" s="54">
        <v>3</v>
      </c>
      <c r="DD30" s="54">
        <f t="shared" si="6"/>
        <v>8</v>
      </c>
      <c r="DE30" s="55">
        <f t="shared" si="7"/>
        <v>1.2708881150356526</v>
      </c>
      <c r="DF30" s="55">
        <f t="shared" si="8"/>
        <v>26.295299666995895</v>
      </c>
      <c r="DG30" s="52">
        <f t="shared" si="9"/>
        <v>15836</v>
      </c>
      <c r="DH30" s="52">
        <f t="shared" si="10"/>
        <v>22169</v>
      </c>
      <c r="DI30" s="52">
        <f t="shared" si="11"/>
        <v>20125.784189704595</v>
      </c>
      <c r="DJ30" s="52">
        <f t="shared" si="12"/>
        <v>2043.2158102954054</v>
      </c>
      <c r="DK30" s="52">
        <f t="shared" si="13"/>
        <v>125.84116973391498</v>
      </c>
      <c r="DL30" s="56">
        <f t="shared" si="14"/>
        <v>0.6174664560243729</v>
      </c>
      <c r="DM30" s="10"/>
      <c r="DY30">
        <f t="shared" si="15"/>
        <v>3000005</v>
      </c>
      <c r="EA30" s="10"/>
      <c r="EB30" s="51">
        <v>5</v>
      </c>
      <c r="EC30" s="54">
        <v>3</v>
      </c>
      <c r="ED30" s="52">
        <f t="shared" si="16"/>
        <v>15836</v>
      </c>
      <c r="EE30" s="52">
        <f t="shared" si="17"/>
        <v>22169</v>
      </c>
      <c r="EF30" s="55">
        <f t="shared" si="18"/>
        <v>1.3999115938368274</v>
      </c>
      <c r="EG30" s="57" t="s">
        <v>14</v>
      </c>
      <c r="EI30" s="10"/>
      <c r="EJ30" s="10"/>
      <c r="EK30" s="10"/>
      <c r="EL30" s="10"/>
      <c r="EM30" s="10"/>
      <c r="EN30" s="10"/>
      <c r="EP30" s="10"/>
      <c r="EQ30" s="10"/>
      <c r="ER30" s="10"/>
      <c r="ES30" s="30">
        <f>SUM(ES22:ES29)</f>
        <v>12.875</v>
      </c>
      <c r="ET30" s="10">
        <f>SUM(ET22:ET29)</f>
        <v>3.978515625</v>
      </c>
      <c r="EU30" s="10"/>
      <c r="FI30" s="60"/>
      <c r="HA30" s="51">
        <v>2</v>
      </c>
      <c r="HB30" s="52">
        <f t="shared" si="61"/>
        <v>106</v>
      </c>
      <c r="HC30" s="52">
        <f t="shared" si="61"/>
        <v>4285</v>
      </c>
      <c r="HD30" s="53">
        <f t="shared" si="62"/>
        <v>385.315704685769</v>
      </c>
      <c r="HI30" s="10"/>
    </row>
    <row r="31" spans="1:217" ht="12" customHeight="1">
      <c r="A31" s="14">
        <v>1</v>
      </c>
      <c r="B31" s="62">
        <f aca="true" t="shared" si="63" ref="B31:I32">+B9*((C9/B9)-B$22)^2</f>
        <v>9127.852176443044</v>
      </c>
      <c r="C31" s="62">
        <f t="shared" si="63"/>
        <v>766.7032300795581</v>
      </c>
      <c r="D31" s="62">
        <f t="shared" si="63"/>
        <v>387.77918790155445</v>
      </c>
      <c r="E31" s="62">
        <f t="shared" si="63"/>
        <v>7.253359142923783</v>
      </c>
      <c r="F31" s="62">
        <f t="shared" si="63"/>
        <v>90.49322835575694</v>
      </c>
      <c r="G31" s="62">
        <f t="shared" si="63"/>
        <v>81.65430019515057</v>
      </c>
      <c r="H31" s="62">
        <f t="shared" si="63"/>
        <v>1.0430186743138156E-07</v>
      </c>
      <c r="I31" s="62">
        <f t="shared" si="63"/>
        <v>3.6651672329751204</v>
      </c>
      <c r="J31" s="62"/>
      <c r="K31" s="62"/>
      <c r="L31" s="7"/>
      <c r="M31" s="7"/>
      <c r="N31" s="7"/>
      <c r="O31" s="7"/>
      <c r="CA31" s="10"/>
      <c r="CB31" s="51">
        <v>5</v>
      </c>
      <c r="CC31" s="52">
        <f t="shared" si="56"/>
        <v>1092</v>
      </c>
      <c r="CD31" s="52">
        <f t="shared" si="56"/>
        <v>9565</v>
      </c>
      <c r="CE31" s="52">
        <f t="shared" si="57"/>
        <v>3275.2996472582345</v>
      </c>
      <c r="CF31" s="52">
        <f t="shared" si="58"/>
        <v>6289.7003527417655</v>
      </c>
      <c r="CG31" s="52">
        <f t="shared" si="59"/>
        <v>33.04542328371661</v>
      </c>
      <c r="CH31" s="56">
        <f t="shared" si="60"/>
        <v>1.1398433078749297</v>
      </c>
      <c r="CI31" s="10"/>
      <c r="CY31" s="10"/>
      <c r="DA31" s="10"/>
      <c r="DB31" s="51">
        <v>6</v>
      </c>
      <c r="DC31" s="54">
        <v>3</v>
      </c>
      <c r="DD31" s="54">
        <f t="shared" si="6"/>
        <v>9</v>
      </c>
      <c r="DE31" s="55">
        <f t="shared" si="7"/>
        <v>1.2708881150356526</v>
      </c>
      <c r="DF31" s="55">
        <f t="shared" si="8"/>
        <v>26.295299666995895</v>
      </c>
      <c r="DG31" s="52">
        <f t="shared" si="9"/>
        <v>11702</v>
      </c>
      <c r="DH31" s="52">
        <f t="shared" si="10"/>
        <v>12935</v>
      </c>
      <c r="DI31" s="52">
        <f t="shared" si="11"/>
        <v>14871.932722147207</v>
      </c>
      <c r="DJ31" s="52">
        <f t="shared" si="12"/>
        <v>-1936.9327221472067</v>
      </c>
      <c r="DK31" s="52">
        <f t="shared" si="13"/>
        <v>108.17578287213826</v>
      </c>
      <c r="DL31" s="56">
        <f t="shared" si="14"/>
        <v>-0.6809361089354168</v>
      </c>
      <c r="DM31" s="10"/>
      <c r="DY31">
        <f t="shared" si="15"/>
        <v>3000006</v>
      </c>
      <c r="EA31" s="10"/>
      <c r="EB31" s="51">
        <v>6</v>
      </c>
      <c r="EC31" s="54">
        <v>3</v>
      </c>
      <c r="ED31" s="52">
        <f t="shared" si="16"/>
        <v>11702</v>
      </c>
      <c r="EE31" s="52">
        <f t="shared" si="17"/>
        <v>12935</v>
      </c>
      <c r="EF31" s="55">
        <f t="shared" si="18"/>
        <v>1.1053666039993164</v>
      </c>
      <c r="EG31" s="57" t="s">
        <v>13</v>
      </c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FI31" s="60"/>
      <c r="HA31" s="51">
        <v>3</v>
      </c>
      <c r="HB31" s="52">
        <f t="shared" si="61"/>
        <v>3410</v>
      </c>
      <c r="HC31" s="52">
        <f t="shared" si="61"/>
        <v>8992</v>
      </c>
      <c r="HD31" s="53">
        <f t="shared" si="62"/>
        <v>-21.162919028582206</v>
      </c>
      <c r="HI31" s="10"/>
    </row>
    <row r="32" spans="1:217" ht="12" customHeight="1" thickBot="1">
      <c r="A32" s="14">
        <v>2</v>
      </c>
      <c r="B32" s="62">
        <f t="shared" si="63"/>
        <v>148468.19227749083</v>
      </c>
      <c r="C32" s="62">
        <f t="shared" si="63"/>
        <v>568.513659627867</v>
      </c>
      <c r="D32" s="62">
        <f t="shared" si="63"/>
        <v>2687.741928117766</v>
      </c>
      <c r="E32" s="62">
        <f t="shared" si="63"/>
        <v>154.79234959746537</v>
      </c>
      <c r="F32" s="62">
        <f t="shared" si="63"/>
        <v>4.693331425541649</v>
      </c>
      <c r="G32" s="62">
        <f t="shared" si="63"/>
        <v>36.74970075997297</v>
      </c>
      <c r="H32" s="62">
        <f t="shared" si="63"/>
        <v>1.6017916237915588</v>
      </c>
      <c r="I32" s="62">
        <f t="shared" si="63"/>
        <v>4.21803648161289</v>
      </c>
      <c r="J32" s="62"/>
      <c r="K32" s="62"/>
      <c r="L32" s="7"/>
      <c r="M32" s="7"/>
      <c r="N32" s="7"/>
      <c r="O32" s="7"/>
      <c r="CA32" s="10"/>
      <c r="CB32" s="51">
        <v>6</v>
      </c>
      <c r="CC32" s="52">
        <f t="shared" si="56"/>
        <v>1513</v>
      </c>
      <c r="CD32" s="52">
        <f t="shared" si="56"/>
        <v>6445</v>
      </c>
      <c r="CE32" s="52">
        <f t="shared" si="57"/>
        <v>4538.029639470429</v>
      </c>
      <c r="CF32" s="52">
        <f t="shared" si="58"/>
        <v>1906.9703605295708</v>
      </c>
      <c r="CG32" s="52">
        <f t="shared" si="59"/>
        <v>38.897300677553446</v>
      </c>
      <c r="CH32" s="56">
        <f t="shared" si="60"/>
        <v>0.2935965826218851</v>
      </c>
      <c r="CI32" s="10"/>
      <c r="CY32" s="10"/>
      <c r="DA32" s="10"/>
      <c r="DB32" s="51">
        <v>7</v>
      </c>
      <c r="DC32" s="54">
        <v>3</v>
      </c>
      <c r="DD32" s="54">
        <f t="shared" si="6"/>
        <v>10</v>
      </c>
      <c r="DE32" s="55">
        <f t="shared" si="7"/>
        <v>1.2708881150356526</v>
      </c>
      <c r="DF32" s="55">
        <f t="shared" si="8"/>
        <v>26.295299666995895</v>
      </c>
      <c r="DG32" s="52">
        <f t="shared" si="9"/>
        <v>10946</v>
      </c>
      <c r="DH32" s="52">
        <f t="shared" si="10"/>
        <v>12314</v>
      </c>
      <c r="DI32" s="52">
        <f t="shared" si="11"/>
        <v>13911.141307180253</v>
      </c>
      <c r="DJ32" s="52">
        <f t="shared" si="12"/>
        <v>-1597.1413071802526</v>
      </c>
      <c r="DK32" s="52">
        <f t="shared" si="13"/>
        <v>104.62313319720452</v>
      </c>
      <c r="DL32" s="56">
        <f t="shared" si="14"/>
        <v>-0.5805471477216495</v>
      </c>
      <c r="DM32" s="10"/>
      <c r="DY32">
        <f t="shared" si="15"/>
        <v>3000007</v>
      </c>
      <c r="EA32" s="10"/>
      <c r="EB32" s="66">
        <v>7</v>
      </c>
      <c r="EC32" s="69">
        <v>3</v>
      </c>
      <c r="ED32" s="67">
        <f t="shared" si="16"/>
        <v>10946</v>
      </c>
      <c r="EE32" s="67">
        <f t="shared" si="17"/>
        <v>12314</v>
      </c>
      <c r="EF32" s="70">
        <f t="shared" si="18"/>
        <v>1.1249771606066143</v>
      </c>
      <c r="EG32" s="71" t="s">
        <v>13</v>
      </c>
      <c r="EI32" s="10"/>
      <c r="EJ32" s="10"/>
      <c r="EK32" s="10"/>
      <c r="EL32" s="10" t="s">
        <v>108</v>
      </c>
      <c r="EM32" s="10"/>
      <c r="EN32" s="10"/>
      <c r="EO32" s="10"/>
      <c r="EP32" s="10"/>
      <c r="EQ32" s="10"/>
      <c r="ES32" s="10">
        <f>ES30-2*ET30^0.5</f>
        <v>8.885756650691762</v>
      </c>
      <c r="EU32" s="10"/>
      <c r="FI32" s="60"/>
      <c r="HA32" s="51">
        <v>4</v>
      </c>
      <c r="HB32" s="52">
        <f t="shared" si="61"/>
        <v>5655</v>
      </c>
      <c r="HC32" s="52">
        <f t="shared" si="61"/>
        <v>11555</v>
      </c>
      <c r="HD32" s="53">
        <f t="shared" si="62"/>
        <v>-71.89351454722011</v>
      </c>
      <c r="HI32" s="10"/>
    </row>
    <row r="33" spans="1:217" ht="12" customHeight="1" thickTop="1">
      <c r="A33" s="14">
        <v>3</v>
      </c>
      <c r="B33" s="62">
        <f aca="true" t="shared" si="64" ref="B33:H33">+B11*((C11/B11)-B$22)^2</f>
        <v>447.86914181032694</v>
      </c>
      <c r="C33" s="62">
        <f t="shared" si="64"/>
        <v>58.570349872898305</v>
      </c>
      <c r="D33" s="62">
        <f t="shared" si="64"/>
        <v>160.03689499177494</v>
      </c>
      <c r="E33" s="62">
        <f t="shared" si="64"/>
        <v>1.9409633510062136</v>
      </c>
      <c r="F33" s="62">
        <f t="shared" si="64"/>
        <v>97.96128294267064</v>
      </c>
      <c r="G33" s="62">
        <f t="shared" si="64"/>
        <v>3.5935273972735735</v>
      </c>
      <c r="H33" s="62">
        <f t="shared" si="64"/>
        <v>1.0850592031555373</v>
      </c>
      <c r="I33" s="62"/>
      <c r="J33" s="62"/>
      <c r="K33" s="62"/>
      <c r="L33" s="7"/>
      <c r="M33" s="7"/>
      <c r="N33" s="7"/>
      <c r="O33" s="7"/>
      <c r="CA33" s="10"/>
      <c r="CB33" s="51">
        <v>7</v>
      </c>
      <c r="CC33" s="52">
        <f t="shared" si="56"/>
        <v>557</v>
      </c>
      <c r="CD33" s="52">
        <f t="shared" si="56"/>
        <v>4020</v>
      </c>
      <c r="CE33" s="52">
        <f t="shared" si="57"/>
        <v>1670.6427687938062</v>
      </c>
      <c r="CF33" s="52">
        <f t="shared" si="58"/>
        <v>2349.357231206194</v>
      </c>
      <c r="CG33" s="52">
        <f t="shared" si="59"/>
        <v>23.600847442411894</v>
      </c>
      <c r="CH33" s="56">
        <f t="shared" si="60"/>
        <v>0.5961396085100358</v>
      </c>
      <c r="CI33" s="10"/>
      <c r="CY33" s="10"/>
      <c r="DA33" s="10"/>
      <c r="DB33" s="51">
        <v>1</v>
      </c>
      <c r="DC33" s="54">
        <v>4</v>
      </c>
      <c r="DD33" s="54">
        <f t="shared" si="6"/>
        <v>5</v>
      </c>
      <c r="DE33" s="55">
        <f t="shared" si="7"/>
        <v>1.1716746330883747</v>
      </c>
      <c r="DF33" s="55">
        <f t="shared" si="8"/>
        <v>7.824959769253873</v>
      </c>
      <c r="DG33" s="52">
        <f t="shared" si="9"/>
        <v>11805</v>
      </c>
      <c r="DH33" s="52">
        <f t="shared" si="10"/>
        <v>13539</v>
      </c>
      <c r="DI33" s="52">
        <f t="shared" si="11"/>
        <v>13831.619043608263</v>
      </c>
      <c r="DJ33" s="52">
        <f t="shared" si="12"/>
        <v>-292.6190436082634</v>
      </c>
      <c r="DK33" s="52">
        <f t="shared" si="13"/>
        <v>108.65081684000356</v>
      </c>
      <c r="DL33" s="56">
        <f t="shared" si="14"/>
        <v>-0.3441814639218673</v>
      </c>
      <c r="DM33" s="10"/>
      <c r="DY33">
        <f t="shared" si="15"/>
        <v>4000001</v>
      </c>
      <c r="EA33" s="10"/>
      <c r="EB33" s="51">
        <v>1</v>
      </c>
      <c r="EC33" s="54">
        <v>4</v>
      </c>
      <c r="ED33" s="52">
        <f t="shared" si="16"/>
        <v>11805</v>
      </c>
      <c r="EE33" s="52">
        <f t="shared" si="17"/>
        <v>13539</v>
      </c>
      <c r="EF33" s="55">
        <f t="shared" si="18"/>
        <v>1.1468869123252858</v>
      </c>
      <c r="EG33" s="57" t="s">
        <v>13</v>
      </c>
      <c r="EI33" s="10"/>
      <c r="EJ33" s="10"/>
      <c r="EK33" s="10"/>
      <c r="EL33" s="10" t="s">
        <v>109</v>
      </c>
      <c r="EM33" s="10"/>
      <c r="EN33" s="10"/>
      <c r="EO33" s="10"/>
      <c r="EP33" s="10"/>
      <c r="EQ33" s="10"/>
      <c r="ES33" s="30">
        <f>ES30+2*ET30^0.5</f>
        <v>16.864243349308236</v>
      </c>
      <c r="EU33" s="10"/>
      <c r="FI33" s="60"/>
      <c r="HA33" s="51">
        <v>5</v>
      </c>
      <c r="HB33" s="52">
        <f t="shared" si="61"/>
        <v>1092</v>
      </c>
      <c r="HC33" s="52">
        <f t="shared" si="61"/>
        <v>9565</v>
      </c>
      <c r="HD33" s="53">
        <f t="shared" si="62"/>
        <v>190.33499128579976</v>
      </c>
      <c r="HI33" s="10"/>
    </row>
    <row r="34" spans="1:217" ht="12" customHeight="1">
      <c r="A34" s="14">
        <v>4</v>
      </c>
      <c r="B34" s="62">
        <f aca="true" t="shared" si="65" ref="B34:G34">+B12*((C12/B12)-B$22)^2</f>
        <v>5168.677433951353</v>
      </c>
      <c r="C34" s="62">
        <f t="shared" si="65"/>
        <v>775.6703496800542</v>
      </c>
      <c r="D34" s="62">
        <f t="shared" si="65"/>
        <v>95.83144123147518</v>
      </c>
      <c r="E34" s="62">
        <f t="shared" si="65"/>
        <v>104.65366997975588</v>
      </c>
      <c r="F34" s="62">
        <f t="shared" si="65"/>
        <v>0.00016383522415154973</v>
      </c>
      <c r="G34" s="62">
        <f t="shared" si="65"/>
        <v>0.462059702867925</v>
      </c>
      <c r="H34" s="62"/>
      <c r="I34" s="62"/>
      <c r="J34" s="62"/>
      <c r="K34" s="62"/>
      <c r="L34" s="7"/>
      <c r="M34" s="7"/>
      <c r="N34" s="7"/>
      <c r="O34" s="7"/>
      <c r="CA34" s="10"/>
      <c r="CB34" s="51">
        <v>8</v>
      </c>
      <c r="CC34" s="52">
        <f t="shared" si="56"/>
        <v>1351</v>
      </c>
      <c r="CD34" s="52">
        <f t="shared" si="56"/>
        <v>6947</v>
      </c>
      <c r="CE34" s="52">
        <f t="shared" si="57"/>
        <v>4052.1335379540974</v>
      </c>
      <c r="CF34" s="52">
        <f t="shared" si="58"/>
        <v>2894.8664620459026</v>
      </c>
      <c r="CG34" s="52">
        <f t="shared" si="59"/>
        <v>36.75595189897821</v>
      </c>
      <c r="CH34" s="56">
        <f t="shared" si="60"/>
        <v>0.4716581873221491</v>
      </c>
      <c r="CI34" s="10"/>
      <c r="CY34" s="10"/>
      <c r="DA34" s="10"/>
      <c r="DB34" s="51">
        <v>2</v>
      </c>
      <c r="DC34" s="54">
        <v>4</v>
      </c>
      <c r="DD34" s="54">
        <f t="shared" si="6"/>
        <v>6</v>
      </c>
      <c r="DE34" s="55">
        <f t="shared" si="7"/>
        <v>1.1716746330883747</v>
      </c>
      <c r="DF34" s="55">
        <f t="shared" si="8"/>
        <v>7.824959769253873</v>
      </c>
      <c r="DG34" s="52">
        <f t="shared" si="9"/>
        <v>10666</v>
      </c>
      <c r="DH34" s="52">
        <f t="shared" si="10"/>
        <v>13782</v>
      </c>
      <c r="DI34" s="52">
        <f t="shared" si="11"/>
        <v>12497.081636520605</v>
      </c>
      <c r="DJ34" s="52">
        <f t="shared" si="12"/>
        <v>1284.9183634793953</v>
      </c>
      <c r="DK34" s="52">
        <f t="shared" si="13"/>
        <v>103.27632836231156</v>
      </c>
      <c r="DL34" s="56">
        <f t="shared" si="14"/>
        <v>1.5899835563510554</v>
      </c>
      <c r="DM34" s="10"/>
      <c r="DY34">
        <f t="shared" si="15"/>
        <v>4000002</v>
      </c>
      <c r="EA34" s="10"/>
      <c r="EB34" s="51">
        <v>2</v>
      </c>
      <c r="EC34" s="54">
        <v>4</v>
      </c>
      <c r="ED34" s="52">
        <f t="shared" si="16"/>
        <v>10666</v>
      </c>
      <c r="EE34" s="52">
        <f t="shared" si="17"/>
        <v>13782</v>
      </c>
      <c r="EF34" s="55">
        <f t="shared" si="18"/>
        <v>1.2921432589536845</v>
      </c>
      <c r="EG34" s="57" t="s">
        <v>14</v>
      </c>
      <c r="EI34" s="10"/>
      <c r="EJ34" s="10"/>
      <c r="EK34" s="10"/>
      <c r="EL34" s="10"/>
      <c r="EM34" s="10"/>
      <c r="EN34" s="10"/>
      <c r="EO34" s="10"/>
      <c r="EP34" s="10"/>
      <c r="EQ34" s="10"/>
      <c r="ES34" s="10"/>
      <c r="ET34" s="10"/>
      <c r="EU34" s="10"/>
      <c r="FI34" s="60"/>
      <c r="HA34" s="51">
        <v>6</v>
      </c>
      <c r="HB34" s="52">
        <f t="shared" si="61"/>
        <v>1513</v>
      </c>
      <c r="HC34" s="52">
        <f t="shared" si="61"/>
        <v>6445</v>
      </c>
      <c r="HD34" s="53">
        <f t="shared" si="62"/>
        <v>49.025776270126386</v>
      </c>
      <c r="HI34" s="10"/>
    </row>
    <row r="35" spans="1:217" ht="12" customHeight="1" thickBot="1">
      <c r="A35" s="14">
        <v>5</v>
      </c>
      <c r="B35" s="62">
        <f>+B13*((C13/B13)-B$22)^2</f>
        <v>36227.40890776547</v>
      </c>
      <c r="C35" s="62">
        <f>+C13*((D13/C13)-C$22)^2</f>
        <v>9.853840489014834</v>
      </c>
      <c r="D35" s="62">
        <f>+D13*((E13/D13)-D$22)^2</f>
        <v>263.6228117858743</v>
      </c>
      <c r="E35" s="62">
        <f>+E13*((F13/E13)-E$22)^2</f>
        <v>0.01778242949971224</v>
      </c>
      <c r="F35" s="62">
        <f>+F13*((G13/F13)-F$22)^2</f>
        <v>284.60820940438595</v>
      </c>
      <c r="G35" s="62"/>
      <c r="H35" s="62"/>
      <c r="I35" s="62"/>
      <c r="J35" s="62"/>
      <c r="K35" s="62"/>
      <c r="L35" s="7"/>
      <c r="M35" s="7"/>
      <c r="N35" s="7"/>
      <c r="O35" s="7"/>
      <c r="CA35" s="10"/>
      <c r="CB35" s="66">
        <v>9</v>
      </c>
      <c r="CC35" s="67">
        <f t="shared" si="56"/>
        <v>3133</v>
      </c>
      <c r="CD35" s="67">
        <f t="shared" si="56"/>
        <v>5395</v>
      </c>
      <c r="CE35" s="67">
        <f t="shared" si="57"/>
        <v>9396.990654633744</v>
      </c>
      <c r="CF35" s="67">
        <f t="shared" si="58"/>
        <v>-4001.9906546337443</v>
      </c>
      <c r="CG35" s="67">
        <f t="shared" si="59"/>
        <v>55.97320787662612</v>
      </c>
      <c r="CH35" s="95">
        <f t="shared" si="60"/>
        <v>-0.4281760682756756</v>
      </c>
      <c r="CI35" s="10"/>
      <c r="CY35" s="10"/>
      <c r="DA35" s="10"/>
      <c r="DB35" s="51">
        <v>3</v>
      </c>
      <c r="DC35" s="54">
        <v>4</v>
      </c>
      <c r="DD35" s="54">
        <f t="shared" si="6"/>
        <v>7</v>
      </c>
      <c r="DE35" s="55">
        <f t="shared" si="7"/>
        <v>1.1716746330883747</v>
      </c>
      <c r="DF35" s="55">
        <f t="shared" si="8"/>
        <v>7.824959769253873</v>
      </c>
      <c r="DG35" s="52">
        <f t="shared" si="9"/>
        <v>16141</v>
      </c>
      <c r="DH35" s="52">
        <f t="shared" si="10"/>
        <v>18735</v>
      </c>
      <c r="DI35" s="52">
        <f t="shared" si="11"/>
        <v>18912.000252679456</v>
      </c>
      <c r="DJ35" s="52">
        <f t="shared" si="12"/>
        <v>-177.00025267945603</v>
      </c>
      <c r="DK35" s="52">
        <f t="shared" si="13"/>
        <v>127.04723531033645</v>
      </c>
      <c r="DL35" s="56">
        <f t="shared" si="14"/>
        <v>-0.17804367673926413</v>
      </c>
      <c r="DM35" s="10"/>
      <c r="DY35">
        <f t="shared" si="15"/>
        <v>4000003</v>
      </c>
      <c r="EA35" s="10"/>
      <c r="EB35" s="51">
        <v>3</v>
      </c>
      <c r="EC35" s="54">
        <v>4</v>
      </c>
      <c r="ED35" s="52">
        <f t="shared" si="16"/>
        <v>16141</v>
      </c>
      <c r="EE35" s="52">
        <f t="shared" si="17"/>
        <v>18735</v>
      </c>
      <c r="EF35" s="55">
        <f t="shared" si="18"/>
        <v>1.1607087541044545</v>
      </c>
      <c r="EG35" s="57" t="s">
        <v>13</v>
      </c>
      <c r="EI35" s="10"/>
      <c r="EJ35" s="10"/>
      <c r="EK35" s="10"/>
      <c r="EL35" s="10" t="s">
        <v>110</v>
      </c>
      <c r="EM35" s="10"/>
      <c r="EN35" s="10"/>
      <c r="EO35" s="10"/>
      <c r="EP35" s="10"/>
      <c r="EQ35" s="10"/>
      <c r="ES35" s="10">
        <f>SUM(EO22:EO29)</f>
        <v>14</v>
      </c>
      <c r="EU35" s="10"/>
      <c r="FI35" s="60"/>
      <c r="HA35" s="51">
        <v>7</v>
      </c>
      <c r="HB35" s="52">
        <f t="shared" si="61"/>
        <v>557</v>
      </c>
      <c r="HC35" s="52">
        <f t="shared" si="61"/>
        <v>4020</v>
      </c>
      <c r="HD35" s="53">
        <f t="shared" si="62"/>
        <v>99.54546068478382</v>
      </c>
      <c r="HI35" s="10"/>
    </row>
    <row r="36" spans="1:217" ht="12" customHeight="1" thickTop="1">
      <c r="A36" s="14">
        <v>6</v>
      </c>
      <c r="B36" s="62">
        <f>+B14*((C14/B14)-B$22)^2</f>
        <v>2403.526738888488</v>
      </c>
      <c r="C36" s="62">
        <f>+C14*((D14/C14)-C$22)^2</f>
        <v>237.95566895219744</v>
      </c>
      <c r="D36" s="62">
        <f>+D14*((E14/D14)-D$22)^2</f>
        <v>320.60403094552936</v>
      </c>
      <c r="E36" s="62">
        <f>+E14*((F14/E14)-E$22)^2</f>
        <v>37.491852451557044</v>
      </c>
      <c r="F36" s="62"/>
      <c r="G36" s="62"/>
      <c r="H36" s="62"/>
      <c r="I36" s="62"/>
      <c r="J36" s="62"/>
      <c r="K36" s="62"/>
      <c r="L36" s="7"/>
      <c r="M36" s="7"/>
      <c r="N36" s="7"/>
      <c r="O36" s="7"/>
      <c r="CA36" s="10"/>
      <c r="CB36" s="10"/>
      <c r="CC36" s="10"/>
      <c r="CD36" s="10"/>
      <c r="CE36" s="10"/>
      <c r="CF36" s="10"/>
      <c r="CG36" s="10"/>
      <c r="CH36" s="10"/>
      <c r="CI36" s="10"/>
      <c r="CY36" s="10"/>
      <c r="DA36" s="10"/>
      <c r="DB36" s="51">
        <v>4</v>
      </c>
      <c r="DC36" s="54">
        <v>4</v>
      </c>
      <c r="DD36" s="54">
        <f t="shared" si="6"/>
        <v>8</v>
      </c>
      <c r="DE36" s="55">
        <f t="shared" si="7"/>
        <v>1.1716746330883747</v>
      </c>
      <c r="DF36" s="55">
        <f t="shared" si="8"/>
        <v>7.824959769253873</v>
      </c>
      <c r="DG36" s="52">
        <f t="shared" si="9"/>
        <v>21266</v>
      </c>
      <c r="DH36" s="52">
        <f t="shared" si="10"/>
        <v>23425</v>
      </c>
      <c r="DI36" s="52">
        <f t="shared" si="11"/>
        <v>24916.832747257376</v>
      </c>
      <c r="DJ36" s="52">
        <f t="shared" si="12"/>
        <v>-1491.8327472573765</v>
      </c>
      <c r="DK36" s="52">
        <f t="shared" si="13"/>
        <v>145.8286665919976</v>
      </c>
      <c r="DL36" s="56">
        <f t="shared" si="14"/>
        <v>-1.3073597737264016</v>
      </c>
      <c r="DM36" s="10"/>
      <c r="DY36">
        <f t="shared" si="15"/>
        <v>4000004</v>
      </c>
      <c r="EA36" s="10"/>
      <c r="EB36" s="51">
        <v>4</v>
      </c>
      <c r="EC36" s="54">
        <v>4</v>
      </c>
      <c r="ED36" s="52">
        <f t="shared" si="16"/>
        <v>21266</v>
      </c>
      <c r="EE36" s="52">
        <f t="shared" si="17"/>
        <v>23425</v>
      </c>
      <c r="EF36" s="55">
        <f t="shared" si="18"/>
        <v>1.1015235587322487</v>
      </c>
      <c r="EG36" s="57" t="s">
        <v>13</v>
      </c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Y36" s="60"/>
      <c r="HA36" s="51">
        <v>8</v>
      </c>
      <c r="HB36" s="52">
        <f t="shared" si="61"/>
        <v>1351</v>
      </c>
      <c r="HC36" s="52">
        <f t="shared" si="61"/>
        <v>6947</v>
      </c>
      <c r="HD36" s="53">
        <f t="shared" si="62"/>
        <v>78.75912097181676</v>
      </c>
      <c r="HI36" s="10"/>
    </row>
    <row r="37" spans="1:217" ht="12" customHeight="1" thickBot="1">
      <c r="A37" s="14">
        <v>7</v>
      </c>
      <c r="B37" s="62">
        <f>+B15*((C15/B15)-B$22)^2</f>
        <v>9909.298742945839</v>
      </c>
      <c r="C37" s="62">
        <f>+C15*((D15/C15)-C$22)^2</f>
        <v>4858.566397926098</v>
      </c>
      <c r="D37" s="62">
        <f>+D15*((E15/D15)-D$22)^2</f>
        <v>233.04041248871235</v>
      </c>
      <c r="E37" s="62"/>
      <c r="F37" s="62"/>
      <c r="G37" s="62"/>
      <c r="H37" s="62"/>
      <c r="I37" s="62"/>
      <c r="J37" s="62"/>
      <c r="K37" s="62"/>
      <c r="L37" s="7"/>
      <c r="M37" s="7"/>
      <c r="N37" s="7"/>
      <c r="O37" s="7"/>
      <c r="CA37" s="10"/>
      <c r="CB37" s="10"/>
      <c r="CC37" s="10"/>
      <c r="CD37" s="10"/>
      <c r="CE37" s="10"/>
      <c r="CF37" s="10"/>
      <c r="CG37" s="10"/>
      <c r="CH37" s="10"/>
      <c r="CI37" s="10"/>
      <c r="CY37" s="10"/>
      <c r="DA37" s="10"/>
      <c r="DB37" s="51">
        <v>5</v>
      </c>
      <c r="DC37" s="54">
        <v>4</v>
      </c>
      <c r="DD37" s="54">
        <f t="shared" si="6"/>
        <v>9</v>
      </c>
      <c r="DE37" s="55">
        <f t="shared" si="7"/>
        <v>1.1716746330883747</v>
      </c>
      <c r="DF37" s="55">
        <f t="shared" si="8"/>
        <v>7.824959769253873</v>
      </c>
      <c r="DG37" s="52">
        <f t="shared" si="9"/>
        <v>22169</v>
      </c>
      <c r="DH37" s="52">
        <f t="shared" si="10"/>
        <v>25955</v>
      </c>
      <c r="DI37" s="52">
        <f t="shared" si="11"/>
        <v>25974.85494093618</v>
      </c>
      <c r="DJ37" s="52">
        <f t="shared" si="12"/>
        <v>-19.854940936180355</v>
      </c>
      <c r="DK37" s="52">
        <f t="shared" si="13"/>
        <v>148.89257872708095</v>
      </c>
      <c r="DL37" s="56">
        <f t="shared" si="14"/>
        <v>-0.017041720351537816</v>
      </c>
      <c r="DM37" s="10"/>
      <c r="DY37">
        <f t="shared" si="15"/>
        <v>4000005</v>
      </c>
      <c r="EA37" s="10"/>
      <c r="EB37" s="51">
        <v>5</v>
      </c>
      <c r="EC37" s="54">
        <v>4</v>
      </c>
      <c r="ED37" s="52">
        <f t="shared" si="16"/>
        <v>22169</v>
      </c>
      <c r="EE37" s="52">
        <f t="shared" si="17"/>
        <v>25955</v>
      </c>
      <c r="EF37" s="55">
        <f t="shared" si="18"/>
        <v>1.1707790157427038</v>
      </c>
      <c r="EG37" s="57" t="s">
        <v>14</v>
      </c>
      <c r="EI37" s="10"/>
      <c r="EJ37" s="10"/>
      <c r="EK37" s="10"/>
      <c r="EL37" s="96" t="str">
        <f>IF(ES35&gt;ES33,"",IF(ES35&lt;ES32,"","no"))&amp;" statistical evidence of CY effects"</f>
        <v>no statistical evidence of CY effects</v>
      </c>
      <c r="EM37" s="97"/>
      <c r="EN37" s="97"/>
      <c r="EO37" s="97"/>
      <c r="EP37" s="97"/>
      <c r="EQ37" s="97"/>
      <c r="ER37" s="98"/>
      <c r="ES37" s="97"/>
      <c r="ET37" s="86"/>
      <c r="EU37" s="10"/>
      <c r="EY37" s="60"/>
      <c r="HA37" s="66">
        <v>9</v>
      </c>
      <c r="HB37" s="67">
        <f t="shared" si="61"/>
        <v>3133</v>
      </c>
      <c r="HC37" s="67">
        <f t="shared" si="61"/>
        <v>5395</v>
      </c>
      <c r="HD37" s="68">
        <f t="shared" si="62"/>
        <v>-71.49832583215117</v>
      </c>
      <c r="HI37" s="10"/>
    </row>
    <row r="38" spans="1:217" ht="12" customHeight="1" thickBot="1" thickTop="1">
      <c r="A38" s="14">
        <v>8</v>
      </c>
      <c r="B38" s="62">
        <f>+B16*((C16/B16)-B$22)^2</f>
        <v>6202.999136253263</v>
      </c>
      <c r="C38" s="62">
        <f>+C16*((D16/C16)-C$22)^2</f>
        <v>483.8505063033556</v>
      </c>
      <c r="D38" s="62"/>
      <c r="E38" s="62"/>
      <c r="F38" s="62"/>
      <c r="G38" s="62"/>
      <c r="H38" s="62"/>
      <c r="I38" s="62"/>
      <c r="J38" s="62"/>
      <c r="K38" s="62"/>
      <c r="L38" s="7"/>
      <c r="M38" s="7"/>
      <c r="N38" s="7"/>
      <c r="O38" s="7"/>
      <c r="CY38" s="10"/>
      <c r="DA38" s="10"/>
      <c r="DB38" s="51">
        <v>6</v>
      </c>
      <c r="DC38" s="54">
        <v>4</v>
      </c>
      <c r="DD38" s="54">
        <f t="shared" si="6"/>
        <v>10</v>
      </c>
      <c r="DE38" s="55">
        <f t="shared" si="7"/>
        <v>1.1716746330883747</v>
      </c>
      <c r="DF38" s="55">
        <f t="shared" si="8"/>
        <v>7.824959769253873</v>
      </c>
      <c r="DG38" s="52">
        <f t="shared" si="9"/>
        <v>12935</v>
      </c>
      <c r="DH38" s="52">
        <f t="shared" si="10"/>
        <v>15852</v>
      </c>
      <c r="DI38" s="52">
        <f t="shared" si="11"/>
        <v>15155.611378998126</v>
      </c>
      <c r="DJ38" s="52">
        <f t="shared" si="12"/>
        <v>696.3886210018736</v>
      </c>
      <c r="DK38" s="52">
        <f t="shared" si="13"/>
        <v>113.7321414552632</v>
      </c>
      <c r="DL38" s="56">
        <f t="shared" si="14"/>
        <v>0.7825035855563419</v>
      </c>
      <c r="DM38" s="10"/>
      <c r="DY38">
        <f t="shared" si="15"/>
        <v>4000006</v>
      </c>
      <c r="EA38" s="10"/>
      <c r="EB38" s="66">
        <v>6</v>
      </c>
      <c r="EC38" s="69">
        <v>4</v>
      </c>
      <c r="ED38" s="67">
        <f t="shared" si="16"/>
        <v>12935</v>
      </c>
      <c r="EE38" s="67">
        <f t="shared" si="17"/>
        <v>15852</v>
      </c>
      <c r="EF38" s="70">
        <f t="shared" si="18"/>
        <v>1.225512176265945</v>
      </c>
      <c r="EG38" s="71" t="s">
        <v>14</v>
      </c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Y38" s="60"/>
      <c r="HA38" s="10"/>
      <c r="HB38" s="10"/>
      <c r="HC38" s="10"/>
      <c r="HD38" s="10"/>
      <c r="HE38" s="10"/>
      <c r="HF38" s="10"/>
      <c r="HG38" s="10"/>
      <c r="HH38" s="10"/>
      <c r="HI38" s="10"/>
    </row>
    <row r="39" spans="1:155" ht="12" customHeight="1" thickTop="1">
      <c r="A39" s="14">
        <v>9</v>
      </c>
      <c r="B39" s="62">
        <f>+B17*((C17/B17)-B$22)^2</f>
        <v>5112.010596800452</v>
      </c>
      <c r="C39" s="62"/>
      <c r="D39" s="62"/>
      <c r="E39" s="62"/>
      <c r="F39" s="62"/>
      <c r="G39" s="62"/>
      <c r="H39" s="62"/>
      <c r="I39" s="62"/>
      <c r="J39" s="62"/>
      <c r="K39" s="62"/>
      <c r="L39" s="7"/>
      <c r="M39" s="7"/>
      <c r="N39" s="7"/>
      <c r="O39" s="7"/>
      <c r="CY39" s="10"/>
      <c r="DA39" s="10"/>
      <c r="DB39" s="51">
        <v>1</v>
      </c>
      <c r="DC39" s="54">
        <v>5</v>
      </c>
      <c r="DD39" s="54">
        <f t="shared" si="6"/>
        <v>6</v>
      </c>
      <c r="DE39" s="55">
        <f t="shared" si="7"/>
        <v>1.113384886206463</v>
      </c>
      <c r="DF39" s="55">
        <f t="shared" si="8"/>
        <v>10.928817593449661</v>
      </c>
      <c r="DG39" s="52">
        <f t="shared" si="9"/>
        <v>13539</v>
      </c>
      <c r="DH39" s="52">
        <f t="shared" si="10"/>
        <v>16181</v>
      </c>
      <c r="DI39" s="52">
        <f t="shared" si="11"/>
        <v>15074.117974349303</v>
      </c>
      <c r="DJ39" s="52">
        <f t="shared" si="12"/>
        <v>1106.882025650697</v>
      </c>
      <c r="DK39" s="52">
        <f t="shared" si="13"/>
        <v>116.35720862928949</v>
      </c>
      <c r="DL39" s="56">
        <f t="shared" si="14"/>
        <v>0.8704320295860855</v>
      </c>
      <c r="DM39" s="10"/>
      <c r="DY39">
        <f t="shared" si="15"/>
        <v>5000001</v>
      </c>
      <c r="EA39" s="10"/>
      <c r="EB39" s="51">
        <v>1</v>
      </c>
      <c r="EC39" s="54">
        <v>5</v>
      </c>
      <c r="ED39" s="52">
        <f t="shared" si="16"/>
        <v>13539</v>
      </c>
      <c r="EE39" s="52">
        <f t="shared" si="17"/>
        <v>16181</v>
      </c>
      <c r="EF39" s="55">
        <f t="shared" si="18"/>
        <v>1.1951399660240787</v>
      </c>
      <c r="EG39" s="57" t="s">
        <v>14</v>
      </c>
      <c r="EI39" s="10"/>
      <c r="EJ39" s="10" t="s">
        <v>111</v>
      </c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Y39" s="60"/>
    </row>
    <row r="40" spans="1:212" ht="12" customHeight="1">
      <c r="A40" s="14">
        <v>10</v>
      </c>
      <c r="B40" s="62"/>
      <c r="C40" s="62"/>
      <c r="D40" s="62"/>
      <c r="E40" s="62"/>
      <c r="F40" s="62"/>
      <c r="G40" s="62"/>
      <c r="H40" s="62"/>
      <c r="I40" s="62"/>
      <c r="J40" s="7"/>
      <c r="K40" s="62"/>
      <c r="L40" s="7"/>
      <c r="M40" s="7"/>
      <c r="N40" s="7"/>
      <c r="O40" s="7"/>
      <c r="CY40" s="10"/>
      <c r="DA40" s="10"/>
      <c r="DB40" s="51">
        <v>2</v>
      </c>
      <c r="DC40" s="54">
        <v>5</v>
      </c>
      <c r="DD40" s="54">
        <f t="shared" si="6"/>
        <v>7</v>
      </c>
      <c r="DE40" s="55">
        <f t="shared" si="7"/>
        <v>1.113384886206463</v>
      </c>
      <c r="DF40" s="55">
        <f t="shared" si="8"/>
        <v>10.928817593449661</v>
      </c>
      <c r="DG40" s="52">
        <f t="shared" si="9"/>
        <v>13782</v>
      </c>
      <c r="DH40" s="52">
        <f t="shared" si="10"/>
        <v>15599</v>
      </c>
      <c r="DI40" s="52">
        <f t="shared" si="11"/>
        <v>15344.670501697474</v>
      </c>
      <c r="DJ40" s="52">
        <f t="shared" si="12"/>
        <v>254.3294983025262</v>
      </c>
      <c r="DK40" s="52">
        <f t="shared" si="13"/>
        <v>117.39676315810415</v>
      </c>
      <c r="DL40" s="56">
        <f t="shared" si="14"/>
        <v>0.1982291114660879</v>
      </c>
      <c r="DM40" s="10"/>
      <c r="DY40">
        <f t="shared" si="15"/>
        <v>5000002</v>
      </c>
      <c r="EA40" s="10"/>
      <c r="EB40" s="51">
        <v>2</v>
      </c>
      <c r="EC40" s="54">
        <v>5</v>
      </c>
      <c r="ED40" s="52">
        <f t="shared" si="16"/>
        <v>13782</v>
      </c>
      <c r="EE40" s="52">
        <f t="shared" si="17"/>
        <v>15599</v>
      </c>
      <c r="EF40" s="55">
        <f t="shared" si="18"/>
        <v>1.1318386300972283</v>
      </c>
      <c r="EG40" s="57" t="s">
        <v>64</v>
      </c>
      <c r="EI40" s="10"/>
      <c r="EJ40" s="10" t="s">
        <v>112</v>
      </c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Y40" s="60"/>
      <c r="HB40" s="10"/>
      <c r="HC40" s="10"/>
      <c r="HD40" s="10"/>
    </row>
    <row r="41" spans="1:209" ht="12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CY41" s="10"/>
      <c r="DA41" s="10"/>
      <c r="DB41" s="51">
        <v>3</v>
      </c>
      <c r="DC41" s="54">
        <v>5</v>
      </c>
      <c r="DD41" s="54">
        <f t="shared" si="6"/>
        <v>8</v>
      </c>
      <c r="DE41" s="55">
        <f t="shared" si="7"/>
        <v>1.113384886206463</v>
      </c>
      <c r="DF41" s="55">
        <f t="shared" si="8"/>
        <v>10.928817593449661</v>
      </c>
      <c r="DG41" s="52">
        <f t="shared" si="9"/>
        <v>18735</v>
      </c>
      <c r="DH41" s="52">
        <f t="shared" si="10"/>
        <v>22214</v>
      </c>
      <c r="DI41" s="52">
        <f t="shared" si="11"/>
        <v>20859.265843078087</v>
      </c>
      <c r="DJ41" s="52">
        <f t="shared" si="12"/>
        <v>1354.7341569219134</v>
      </c>
      <c r="DK41" s="52">
        <f t="shared" si="13"/>
        <v>136.87585616170588</v>
      </c>
      <c r="DL41" s="56">
        <f t="shared" si="14"/>
        <v>0.9056367856908215</v>
      </c>
      <c r="DM41" s="10"/>
      <c r="DY41">
        <f t="shared" si="15"/>
        <v>5000003</v>
      </c>
      <c r="EA41" s="10"/>
      <c r="EB41" s="51">
        <v>3</v>
      </c>
      <c r="EC41" s="54">
        <v>5</v>
      </c>
      <c r="ED41" s="52">
        <f t="shared" si="16"/>
        <v>18735</v>
      </c>
      <c r="EE41" s="52">
        <f t="shared" si="17"/>
        <v>22214</v>
      </c>
      <c r="EF41" s="55">
        <f t="shared" si="18"/>
        <v>1.1856952228449427</v>
      </c>
      <c r="EG41" s="57" t="s">
        <v>14</v>
      </c>
      <c r="EI41" s="10"/>
      <c r="EJ41" s="10" t="s">
        <v>113</v>
      </c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Y41" s="60"/>
      <c r="HA41" s="11" t="s">
        <v>114</v>
      </c>
    </row>
    <row r="42" spans="1:212" ht="12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CY42" s="10"/>
      <c r="DA42" s="10"/>
      <c r="DB42" s="51">
        <v>4</v>
      </c>
      <c r="DC42" s="54">
        <v>5</v>
      </c>
      <c r="DD42" s="54">
        <f t="shared" si="6"/>
        <v>9</v>
      </c>
      <c r="DE42" s="55">
        <f t="shared" si="7"/>
        <v>1.113384886206463</v>
      </c>
      <c r="DF42" s="55">
        <f t="shared" si="8"/>
        <v>10.928817593449661</v>
      </c>
      <c r="DG42" s="52">
        <f t="shared" si="9"/>
        <v>23425</v>
      </c>
      <c r="DH42" s="52">
        <f t="shared" si="10"/>
        <v>26083</v>
      </c>
      <c r="DI42" s="52">
        <f t="shared" si="11"/>
        <v>26081.040959386395</v>
      </c>
      <c r="DJ42" s="52">
        <f t="shared" si="12"/>
        <v>1.9590406136048841</v>
      </c>
      <c r="DK42" s="52">
        <f t="shared" si="13"/>
        <v>153.05227865013967</v>
      </c>
      <c r="DL42" s="56">
        <f t="shared" si="14"/>
        <v>0.0011711983782891312</v>
      </c>
      <c r="DM42" s="10"/>
      <c r="DY42">
        <f t="shared" si="15"/>
        <v>5000004</v>
      </c>
      <c r="EA42" s="10"/>
      <c r="EB42" s="51">
        <v>4</v>
      </c>
      <c r="EC42" s="54">
        <v>5</v>
      </c>
      <c r="ED42" s="52">
        <f t="shared" si="16"/>
        <v>23425</v>
      </c>
      <c r="EE42" s="52">
        <f t="shared" si="17"/>
        <v>26083</v>
      </c>
      <c r="EF42" s="55">
        <f t="shared" si="18"/>
        <v>1.1134685165421558</v>
      </c>
      <c r="EG42" s="57" t="s">
        <v>13</v>
      </c>
      <c r="EI42" s="10"/>
      <c r="EJ42" s="10" t="s">
        <v>115</v>
      </c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Y42" s="60"/>
      <c r="HB42" s="10"/>
      <c r="HC42" s="10"/>
      <c r="HD42" s="10"/>
    </row>
    <row r="43" spans="1:210" ht="12" customHeight="1" thickBot="1">
      <c r="A43" s="7" t="s">
        <v>116</v>
      </c>
      <c r="B43" s="7"/>
      <c r="C43" s="7"/>
      <c r="D43" s="14" t="s">
        <v>117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CY43" s="10"/>
      <c r="DA43" s="10"/>
      <c r="DB43" s="51">
        <v>5</v>
      </c>
      <c r="DC43" s="54">
        <v>5</v>
      </c>
      <c r="DD43" s="54">
        <f t="shared" si="6"/>
        <v>10</v>
      </c>
      <c r="DE43" s="55">
        <f t="shared" si="7"/>
        <v>1.113384886206463</v>
      </c>
      <c r="DF43" s="55">
        <f t="shared" si="8"/>
        <v>10.928817593449661</v>
      </c>
      <c r="DG43" s="52">
        <f t="shared" si="9"/>
        <v>25955</v>
      </c>
      <c r="DH43" s="52">
        <f t="shared" si="10"/>
        <v>26180</v>
      </c>
      <c r="DI43" s="52">
        <f t="shared" si="11"/>
        <v>28897.904721488747</v>
      </c>
      <c r="DJ43" s="52">
        <f t="shared" si="12"/>
        <v>-2717.904721488747</v>
      </c>
      <c r="DK43" s="52">
        <f t="shared" si="13"/>
        <v>161.1055554597668</v>
      </c>
      <c r="DL43" s="56">
        <f t="shared" si="14"/>
        <v>-1.5436560309654344</v>
      </c>
      <c r="DM43" s="10"/>
      <c r="DY43">
        <f t="shared" si="15"/>
        <v>5000005</v>
      </c>
      <c r="EA43" s="10"/>
      <c r="EB43" s="66">
        <v>5</v>
      </c>
      <c r="EC43" s="69">
        <v>5</v>
      </c>
      <c r="ED43" s="67">
        <f t="shared" si="16"/>
        <v>25955</v>
      </c>
      <c r="EE43" s="67">
        <f t="shared" si="17"/>
        <v>26180</v>
      </c>
      <c r="EF43" s="70">
        <f t="shared" si="18"/>
        <v>1.0086688499325756</v>
      </c>
      <c r="EG43" s="71" t="s">
        <v>13</v>
      </c>
      <c r="EI43" s="10"/>
      <c r="EJ43" s="10" t="s">
        <v>118</v>
      </c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Y43" s="60"/>
      <c r="HA43" s="29" t="s">
        <v>119</v>
      </c>
      <c r="HB43" s="30">
        <f>$R$20</f>
        <v>8.206099279541355</v>
      </c>
    </row>
    <row r="44" spans="1:155" ht="12" customHeight="1" thickBot="1" thickTop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CY44" s="10"/>
      <c r="DA44" s="10"/>
      <c r="DB44" s="51">
        <v>1</v>
      </c>
      <c r="DC44" s="54">
        <v>6</v>
      </c>
      <c r="DD44" s="54">
        <f t="shared" si="6"/>
        <v>7</v>
      </c>
      <c r="DE44" s="55">
        <f t="shared" si="7"/>
        <v>1.0419346379110106</v>
      </c>
      <c r="DF44" s="55">
        <f t="shared" si="8"/>
        <v>6.389042391868155</v>
      </c>
      <c r="DG44" s="52">
        <f t="shared" si="9"/>
        <v>16181</v>
      </c>
      <c r="DH44" s="52">
        <f t="shared" si="10"/>
        <v>18009</v>
      </c>
      <c r="DI44" s="52">
        <f t="shared" si="11"/>
        <v>16859.544376038062</v>
      </c>
      <c r="DJ44" s="52">
        <f t="shared" si="12"/>
        <v>1149.4556239619378</v>
      </c>
      <c r="DK44" s="52">
        <f t="shared" si="13"/>
        <v>127.20455966670377</v>
      </c>
      <c r="DL44" s="56">
        <f t="shared" si="14"/>
        <v>1.4143397937830746</v>
      </c>
      <c r="DM44" s="10"/>
      <c r="DY44">
        <f t="shared" si="15"/>
        <v>6000001</v>
      </c>
      <c r="EA44" s="10"/>
      <c r="EB44" s="51">
        <v>1</v>
      </c>
      <c r="EC44" s="54">
        <v>6</v>
      </c>
      <c r="ED44" s="52">
        <f t="shared" si="16"/>
        <v>16181</v>
      </c>
      <c r="EE44" s="52">
        <f t="shared" si="17"/>
        <v>18009</v>
      </c>
      <c r="EF44" s="55">
        <f t="shared" si="18"/>
        <v>1.1129720042024598</v>
      </c>
      <c r="EG44" s="57" t="s">
        <v>14</v>
      </c>
      <c r="EI44" s="10"/>
      <c r="EJ44" s="10" t="s">
        <v>120</v>
      </c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Y44" s="60"/>
    </row>
    <row r="45" spans="1:212" ht="12" customHeight="1" thickTop="1">
      <c r="A45" s="7"/>
      <c r="B45" s="7"/>
      <c r="C45" s="7"/>
      <c r="D45" s="7"/>
      <c r="E45" s="7" t="s">
        <v>19</v>
      </c>
      <c r="F45" s="7"/>
      <c r="G45" s="7"/>
      <c r="H45" s="7"/>
      <c r="I45" s="7"/>
      <c r="J45" s="7"/>
      <c r="K45" s="7"/>
      <c r="L45" s="7"/>
      <c r="M45" s="7"/>
      <c r="N45" s="7"/>
      <c r="O45" s="7"/>
      <c r="CY45" s="10"/>
      <c r="DA45" s="10"/>
      <c r="DB45" s="51">
        <v>2</v>
      </c>
      <c r="DC45" s="54">
        <v>6</v>
      </c>
      <c r="DD45" s="54">
        <f t="shared" si="6"/>
        <v>8</v>
      </c>
      <c r="DE45" s="55">
        <f t="shared" si="7"/>
        <v>1.0419346379110106</v>
      </c>
      <c r="DF45" s="55">
        <f t="shared" si="8"/>
        <v>6.389042391868155</v>
      </c>
      <c r="DG45" s="52">
        <f t="shared" si="9"/>
        <v>15599</v>
      </c>
      <c r="DH45" s="52">
        <f t="shared" si="10"/>
        <v>15496</v>
      </c>
      <c r="DI45" s="52">
        <f t="shared" si="11"/>
        <v>16253.138416773854</v>
      </c>
      <c r="DJ45" s="52">
        <f t="shared" si="12"/>
        <v>-757.1384167738543</v>
      </c>
      <c r="DK45" s="52">
        <f t="shared" si="13"/>
        <v>124.89595669996687</v>
      </c>
      <c r="DL45" s="56">
        <f t="shared" si="14"/>
        <v>-0.9488359559572129</v>
      </c>
      <c r="DM45" s="10"/>
      <c r="DY45">
        <f t="shared" si="15"/>
        <v>6000002</v>
      </c>
      <c r="EA45" s="10"/>
      <c r="EB45" s="51">
        <v>2</v>
      </c>
      <c r="EC45" s="54">
        <v>6</v>
      </c>
      <c r="ED45" s="52">
        <f t="shared" si="16"/>
        <v>15599</v>
      </c>
      <c r="EE45" s="52">
        <f t="shared" si="17"/>
        <v>15496</v>
      </c>
      <c r="EF45" s="55">
        <f t="shared" si="18"/>
        <v>0.9933970126290147</v>
      </c>
      <c r="EG45" s="57" t="s">
        <v>13</v>
      </c>
      <c r="EI45" s="10"/>
      <c r="EJ45" s="10" t="s">
        <v>121</v>
      </c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Y45" s="60"/>
      <c r="HA45" s="20"/>
      <c r="HB45" s="21"/>
      <c r="HC45" s="22" t="s">
        <v>20</v>
      </c>
      <c r="HD45" s="23"/>
    </row>
    <row r="46" spans="1:212" ht="12" customHeight="1" thickBot="1">
      <c r="A46" s="7"/>
      <c r="B46" s="14">
        <v>1</v>
      </c>
      <c r="C46" s="14">
        <v>2</v>
      </c>
      <c r="D46" s="14">
        <v>3</v>
      </c>
      <c r="E46" s="14">
        <v>4</v>
      </c>
      <c r="F46" s="14">
        <v>5</v>
      </c>
      <c r="G46" s="14">
        <v>6</v>
      </c>
      <c r="H46" s="14">
        <v>7</v>
      </c>
      <c r="I46" s="14">
        <v>8</v>
      </c>
      <c r="J46" s="14">
        <v>9</v>
      </c>
      <c r="K46" s="7"/>
      <c r="L46" s="7"/>
      <c r="M46" s="7"/>
      <c r="N46" s="7"/>
      <c r="O46" s="7"/>
      <c r="CY46" s="10"/>
      <c r="DA46" s="10"/>
      <c r="DB46" s="51">
        <v>3</v>
      </c>
      <c r="DC46" s="54">
        <v>6</v>
      </c>
      <c r="DD46" s="54">
        <f t="shared" si="6"/>
        <v>9</v>
      </c>
      <c r="DE46" s="55">
        <f t="shared" si="7"/>
        <v>1.0419346379110106</v>
      </c>
      <c r="DF46" s="55">
        <f t="shared" si="8"/>
        <v>6.389042391868155</v>
      </c>
      <c r="DG46" s="52">
        <f t="shared" si="9"/>
        <v>22214</v>
      </c>
      <c r="DH46" s="52">
        <f t="shared" si="10"/>
        <v>22863</v>
      </c>
      <c r="DI46" s="52">
        <f t="shared" si="11"/>
        <v>23145.53604655519</v>
      </c>
      <c r="DJ46" s="52">
        <f t="shared" si="12"/>
        <v>-282.5360465551894</v>
      </c>
      <c r="DK46" s="52">
        <f t="shared" si="13"/>
        <v>149.04361777681055</v>
      </c>
      <c r="DL46" s="56">
        <f t="shared" si="14"/>
        <v>-0.2967048943923113</v>
      </c>
      <c r="DM46" s="10"/>
      <c r="DY46">
        <f t="shared" si="15"/>
        <v>6000003</v>
      </c>
      <c r="EA46" s="10"/>
      <c r="EB46" s="51">
        <v>3</v>
      </c>
      <c r="EC46" s="54">
        <v>6</v>
      </c>
      <c r="ED46" s="52">
        <f t="shared" si="16"/>
        <v>22214</v>
      </c>
      <c r="EE46" s="52">
        <f t="shared" si="17"/>
        <v>22863</v>
      </c>
      <c r="EF46" s="55">
        <f t="shared" si="18"/>
        <v>1.0292158098496444</v>
      </c>
      <c r="EG46" s="57" t="s">
        <v>13</v>
      </c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Y46" s="60"/>
      <c r="HA46" s="35" t="s">
        <v>21</v>
      </c>
      <c r="HB46" s="36" t="s">
        <v>43</v>
      </c>
      <c r="HC46" s="36" t="s">
        <v>44</v>
      </c>
      <c r="HD46" s="37" t="s">
        <v>122</v>
      </c>
    </row>
    <row r="47" spans="1:212" ht="12" customHeight="1" thickBot="1" thickTop="1">
      <c r="A47" s="14">
        <v>1</v>
      </c>
      <c r="B47" s="99">
        <f aca="true" t="shared" si="66" ref="B47:I47">SUM(B31:B39)/($A$18-B$8-1)</f>
        <v>27883.479394043632</v>
      </c>
      <c r="C47" s="99">
        <f t="shared" si="66"/>
        <v>1108.5262861330064</v>
      </c>
      <c r="D47" s="99">
        <f t="shared" si="66"/>
        <v>691.4427845771144</v>
      </c>
      <c r="E47" s="99">
        <f t="shared" si="66"/>
        <v>61.229995390441616</v>
      </c>
      <c r="F47" s="99">
        <f t="shared" si="66"/>
        <v>119.43905399089483</v>
      </c>
      <c r="G47" s="99">
        <f t="shared" si="66"/>
        <v>40.819862685088346</v>
      </c>
      <c r="H47" s="99">
        <f t="shared" si="66"/>
        <v>1.3434254656244817</v>
      </c>
      <c r="I47" s="99">
        <f t="shared" si="66"/>
        <v>7.88320371458801</v>
      </c>
      <c r="J47" s="100">
        <f>MINA(I47^2/H47,MINA(H47,I47))</f>
        <v>1.3434254656244817</v>
      </c>
      <c r="K47" s="7"/>
      <c r="L47" s="7"/>
      <c r="M47" s="7"/>
      <c r="N47" s="7"/>
      <c r="O47" s="7"/>
      <c r="CY47" s="10"/>
      <c r="DA47" s="10"/>
      <c r="DB47" s="51">
        <v>4</v>
      </c>
      <c r="DC47" s="54">
        <v>6</v>
      </c>
      <c r="DD47" s="54">
        <f t="shared" si="6"/>
        <v>10</v>
      </c>
      <c r="DE47" s="55">
        <f t="shared" si="7"/>
        <v>1.0419346379110106</v>
      </c>
      <c r="DF47" s="55">
        <f t="shared" si="8"/>
        <v>6.389042391868155</v>
      </c>
      <c r="DG47" s="52">
        <f t="shared" si="9"/>
        <v>26083</v>
      </c>
      <c r="DH47" s="52">
        <f t="shared" si="10"/>
        <v>27067</v>
      </c>
      <c r="DI47" s="52">
        <f t="shared" si="11"/>
        <v>27176.78116063289</v>
      </c>
      <c r="DJ47" s="52">
        <f t="shared" si="12"/>
        <v>-109.78116063289053</v>
      </c>
      <c r="DK47" s="52">
        <f t="shared" si="13"/>
        <v>161.50232196473215</v>
      </c>
      <c r="DL47" s="56">
        <f t="shared" si="14"/>
        <v>-0.10639305451041121</v>
      </c>
      <c r="DM47" s="10"/>
      <c r="DY47">
        <f t="shared" si="15"/>
        <v>6000004</v>
      </c>
      <c r="EA47" s="10"/>
      <c r="EB47" s="66">
        <v>4</v>
      </c>
      <c r="EC47" s="69">
        <v>6</v>
      </c>
      <c r="ED47" s="67">
        <f t="shared" si="16"/>
        <v>26083</v>
      </c>
      <c r="EE47" s="67">
        <f t="shared" si="17"/>
        <v>27067</v>
      </c>
      <c r="EF47" s="70">
        <f t="shared" si="18"/>
        <v>1.037725721734463</v>
      </c>
      <c r="EG47" s="71" t="s">
        <v>14</v>
      </c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Y47" s="60"/>
      <c r="HA47" s="51">
        <v>1</v>
      </c>
      <c r="HB47" s="52">
        <f aca="true" t="shared" si="67" ref="HB47:HC55">HB29</f>
        <v>5012</v>
      </c>
      <c r="HC47" s="52">
        <f t="shared" si="67"/>
        <v>8269</v>
      </c>
      <c r="HD47" s="101">
        <f aca="true" t="shared" si="68" ref="HD47:HD55">(HC47-HB47*$HB$43)/HB47</f>
        <v>-6.556258896460748</v>
      </c>
    </row>
    <row r="48" spans="1:212" ht="12" customHeight="1" thickTop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CY48" s="10"/>
      <c r="DA48" s="10"/>
      <c r="DB48" s="51">
        <v>1</v>
      </c>
      <c r="DC48" s="54">
        <v>7</v>
      </c>
      <c r="DD48" s="54">
        <f t="shared" si="6"/>
        <v>8</v>
      </c>
      <c r="DE48" s="55">
        <f t="shared" si="7"/>
        <v>1.033263553789384</v>
      </c>
      <c r="DF48" s="55">
        <f t="shared" si="8"/>
        <v>1.1590623217172067</v>
      </c>
      <c r="DG48" s="52">
        <f t="shared" si="9"/>
        <v>18009</v>
      </c>
      <c r="DH48" s="52">
        <f t="shared" si="10"/>
        <v>18608</v>
      </c>
      <c r="DI48" s="52">
        <f t="shared" si="11"/>
        <v>18608.043340193017</v>
      </c>
      <c r="DJ48" s="52">
        <f t="shared" si="12"/>
        <v>-0.04334019301677472</v>
      </c>
      <c r="DK48" s="52">
        <f t="shared" si="13"/>
        <v>134.19761547807025</v>
      </c>
      <c r="DL48" s="56">
        <f t="shared" si="14"/>
        <v>-0.00027863730047225</v>
      </c>
      <c r="DM48" s="10"/>
      <c r="DY48">
        <f t="shared" si="15"/>
        <v>7000001</v>
      </c>
      <c r="EA48" s="10"/>
      <c r="EB48" s="51">
        <v>1</v>
      </c>
      <c r="EC48" s="54">
        <v>7</v>
      </c>
      <c r="ED48" s="52">
        <f t="shared" si="16"/>
        <v>18009</v>
      </c>
      <c r="EE48" s="52">
        <f t="shared" si="17"/>
        <v>18608</v>
      </c>
      <c r="EF48" s="55">
        <f t="shared" si="18"/>
        <v>1.0332611472041757</v>
      </c>
      <c r="EG48" s="57" t="s">
        <v>64</v>
      </c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Y48" s="60"/>
      <c r="HA48" s="51">
        <v>2</v>
      </c>
      <c r="HB48" s="52">
        <f t="shared" si="67"/>
        <v>106</v>
      </c>
      <c r="HC48" s="52">
        <f t="shared" si="67"/>
        <v>4285</v>
      </c>
      <c r="HD48" s="101">
        <f t="shared" si="68"/>
        <v>32.21842902234544</v>
      </c>
    </row>
    <row r="49" spans="1:212" ht="12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CY49" s="10"/>
      <c r="DA49" s="10"/>
      <c r="DB49" s="51">
        <v>2</v>
      </c>
      <c r="DC49" s="54">
        <v>7</v>
      </c>
      <c r="DD49" s="54">
        <f t="shared" si="6"/>
        <v>9</v>
      </c>
      <c r="DE49" s="55">
        <f t="shared" si="7"/>
        <v>1.033263553789384</v>
      </c>
      <c r="DF49" s="55">
        <f t="shared" si="8"/>
        <v>1.1590623217172067</v>
      </c>
      <c r="DG49" s="52">
        <f t="shared" si="9"/>
        <v>15496</v>
      </c>
      <c r="DH49" s="52">
        <f t="shared" si="10"/>
        <v>16169</v>
      </c>
      <c r="DI49" s="52">
        <f t="shared" si="11"/>
        <v>16011.452029520293</v>
      </c>
      <c r="DJ49" s="52">
        <f t="shared" si="12"/>
        <v>157.54797047970715</v>
      </c>
      <c r="DK49" s="52">
        <f t="shared" si="13"/>
        <v>124.48293055676348</v>
      </c>
      <c r="DL49" s="56">
        <f t="shared" si="14"/>
        <v>1.0919335774239154</v>
      </c>
      <c r="DM49" s="10"/>
      <c r="DY49">
        <f t="shared" si="15"/>
        <v>7000002</v>
      </c>
      <c r="EA49" s="10"/>
      <c r="EB49" s="51">
        <v>2</v>
      </c>
      <c r="EC49" s="54">
        <v>7</v>
      </c>
      <c r="ED49" s="52">
        <f t="shared" si="16"/>
        <v>15496</v>
      </c>
      <c r="EE49" s="52">
        <f t="shared" si="17"/>
        <v>16169</v>
      </c>
      <c r="EF49" s="55">
        <f t="shared" si="18"/>
        <v>1.0434305627258647</v>
      </c>
      <c r="EG49" s="57" t="s">
        <v>14</v>
      </c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Y49" s="60"/>
      <c r="HA49" s="51">
        <v>3</v>
      </c>
      <c r="HB49" s="52">
        <f t="shared" si="67"/>
        <v>3410</v>
      </c>
      <c r="HC49" s="52">
        <f t="shared" si="67"/>
        <v>8992</v>
      </c>
      <c r="HD49" s="101">
        <f t="shared" si="68"/>
        <v>-5.56914913291379</v>
      </c>
    </row>
    <row r="50" spans="1:212" ht="12" customHeight="1" thickBo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CY50" s="10"/>
      <c r="DA50" s="10"/>
      <c r="DB50" s="51">
        <v>3</v>
      </c>
      <c r="DC50" s="54">
        <v>7</v>
      </c>
      <c r="DD50" s="54">
        <f t="shared" si="6"/>
        <v>10</v>
      </c>
      <c r="DE50" s="55">
        <f t="shared" si="7"/>
        <v>1.033263553789384</v>
      </c>
      <c r="DF50" s="55">
        <f t="shared" si="8"/>
        <v>1.1590623217172067</v>
      </c>
      <c r="DG50" s="52">
        <f t="shared" si="9"/>
        <v>22863</v>
      </c>
      <c r="DH50" s="52">
        <f t="shared" si="10"/>
        <v>23466</v>
      </c>
      <c r="DI50" s="52">
        <f t="shared" si="11"/>
        <v>23623.504630286687</v>
      </c>
      <c r="DJ50" s="52">
        <f t="shared" si="12"/>
        <v>-157.50463028668673</v>
      </c>
      <c r="DK50" s="52">
        <f t="shared" si="13"/>
        <v>151.20515864215744</v>
      </c>
      <c r="DL50" s="56">
        <f t="shared" si="14"/>
        <v>-0.8987107348059914</v>
      </c>
      <c r="DM50" s="10"/>
      <c r="DY50">
        <f t="shared" si="15"/>
        <v>7000003</v>
      </c>
      <c r="EA50" s="10"/>
      <c r="EB50" s="66">
        <v>3</v>
      </c>
      <c r="EC50" s="69">
        <v>7</v>
      </c>
      <c r="ED50" s="67">
        <f t="shared" si="16"/>
        <v>22863</v>
      </c>
      <c r="EE50" s="67">
        <f t="shared" si="17"/>
        <v>23466</v>
      </c>
      <c r="EF50" s="70">
        <f t="shared" si="18"/>
        <v>1.0263744915365438</v>
      </c>
      <c r="EG50" s="71" t="s">
        <v>13</v>
      </c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Y50" s="60"/>
      <c r="HA50" s="51">
        <v>4</v>
      </c>
      <c r="HB50" s="52">
        <f t="shared" si="67"/>
        <v>5655</v>
      </c>
      <c r="HC50" s="52">
        <f t="shared" si="67"/>
        <v>11555</v>
      </c>
      <c r="HD50" s="101">
        <f t="shared" si="68"/>
        <v>-6.162774787941002</v>
      </c>
    </row>
    <row r="51" spans="1:212" ht="12" customHeight="1" thickTop="1">
      <c r="A51" s="7" t="s">
        <v>123</v>
      </c>
      <c r="B51" s="7"/>
      <c r="C51" s="7"/>
      <c r="D51" s="7" t="s">
        <v>124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CY51" s="10"/>
      <c r="DA51" s="10"/>
      <c r="DB51" s="51">
        <v>1</v>
      </c>
      <c r="DC51" s="54">
        <v>8</v>
      </c>
      <c r="DD51" s="54">
        <f t="shared" si="6"/>
        <v>9</v>
      </c>
      <c r="DE51" s="55">
        <f t="shared" si="7"/>
        <v>1.0169364810075625</v>
      </c>
      <c r="DF51" s="55">
        <f t="shared" si="8"/>
        <v>2.8077043495688803</v>
      </c>
      <c r="DG51" s="52">
        <f t="shared" si="9"/>
        <v>18608</v>
      </c>
      <c r="DH51" s="52">
        <f t="shared" si="10"/>
        <v>18662</v>
      </c>
      <c r="DI51" s="52">
        <f t="shared" si="11"/>
        <v>18923.154038588724</v>
      </c>
      <c r="DJ51" s="52">
        <f t="shared" si="12"/>
        <v>-261.1540385887238</v>
      </c>
      <c r="DK51" s="52">
        <f t="shared" si="13"/>
        <v>136.41114323983948</v>
      </c>
      <c r="DL51" s="56">
        <f t="shared" si="14"/>
        <v>-0.6818604846758947</v>
      </c>
      <c r="DM51" s="10"/>
      <c r="DY51">
        <f t="shared" si="15"/>
        <v>8000001</v>
      </c>
      <c r="EA51" s="10"/>
      <c r="EB51" s="51">
        <v>1</v>
      </c>
      <c r="EC51" s="54">
        <v>8</v>
      </c>
      <c r="ED51" s="52">
        <f t="shared" si="16"/>
        <v>18608</v>
      </c>
      <c r="EE51" s="52">
        <f t="shared" si="17"/>
        <v>18662</v>
      </c>
      <c r="EF51" s="55">
        <f t="shared" si="18"/>
        <v>1.002901977644024</v>
      </c>
      <c r="EG51" s="57" t="s">
        <v>13</v>
      </c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Y51" s="60"/>
      <c r="HA51" s="51">
        <v>5</v>
      </c>
      <c r="HB51" s="52">
        <f t="shared" si="67"/>
        <v>1092</v>
      </c>
      <c r="HC51" s="52">
        <f t="shared" si="67"/>
        <v>9565</v>
      </c>
      <c r="HD51" s="101">
        <f t="shared" si="68"/>
        <v>0.553058229616154</v>
      </c>
    </row>
    <row r="52" spans="1:212" ht="12" customHeight="1" thickBo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CY52" s="10"/>
      <c r="DA52" s="10"/>
      <c r="DB52" s="51">
        <v>2</v>
      </c>
      <c r="DC52" s="54">
        <v>8</v>
      </c>
      <c r="DD52" s="54">
        <f t="shared" si="6"/>
        <v>10</v>
      </c>
      <c r="DE52" s="55">
        <f t="shared" si="7"/>
        <v>1.0169364810075625</v>
      </c>
      <c r="DF52" s="55">
        <f t="shared" si="8"/>
        <v>2.8077043495688803</v>
      </c>
      <c r="DG52" s="52">
        <f t="shared" si="9"/>
        <v>16169</v>
      </c>
      <c r="DH52" s="52">
        <f t="shared" si="10"/>
        <v>16704</v>
      </c>
      <c r="DI52" s="52">
        <f t="shared" si="11"/>
        <v>16442.84596141128</v>
      </c>
      <c r="DJ52" s="52">
        <f t="shared" si="12"/>
        <v>261.15403858872014</v>
      </c>
      <c r="DK52" s="52">
        <f t="shared" si="13"/>
        <v>127.1573827978541</v>
      </c>
      <c r="DL52" s="56">
        <f t="shared" si="14"/>
        <v>0.7314822482039811</v>
      </c>
      <c r="DM52" s="10"/>
      <c r="DY52">
        <f t="shared" si="15"/>
        <v>8000002</v>
      </c>
      <c r="EA52" s="10"/>
      <c r="EB52" s="66">
        <v>2</v>
      </c>
      <c r="EC52" s="69">
        <v>8</v>
      </c>
      <c r="ED52" s="67">
        <f t="shared" si="16"/>
        <v>16169</v>
      </c>
      <c r="EE52" s="67">
        <f t="shared" si="17"/>
        <v>16704</v>
      </c>
      <c r="EF52" s="70">
        <f t="shared" si="18"/>
        <v>1.033088007916383</v>
      </c>
      <c r="EG52" s="71" t="s">
        <v>14</v>
      </c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Y52" s="60"/>
      <c r="HA52" s="51">
        <v>6</v>
      </c>
      <c r="HB52" s="52">
        <f t="shared" si="67"/>
        <v>1513</v>
      </c>
      <c r="HC52" s="52">
        <f t="shared" si="67"/>
        <v>6445</v>
      </c>
      <c r="HD52" s="101">
        <f t="shared" si="68"/>
        <v>-3.9463504361837876</v>
      </c>
    </row>
    <row r="53" spans="1:212" ht="12" customHeight="1" thickBot="1" thickTop="1">
      <c r="A53" s="7"/>
      <c r="B53" s="7"/>
      <c r="C53" s="7"/>
      <c r="D53" s="7"/>
      <c r="E53" s="7" t="s">
        <v>19</v>
      </c>
      <c r="F53" s="7"/>
      <c r="G53" s="7"/>
      <c r="H53" s="7"/>
      <c r="I53" s="7"/>
      <c r="J53" s="7"/>
      <c r="K53" s="7"/>
      <c r="L53" s="7"/>
      <c r="M53" s="7"/>
      <c r="N53" s="7"/>
      <c r="O53" s="7"/>
      <c r="CY53" s="10"/>
      <c r="DA53" s="10"/>
      <c r="DB53" s="66">
        <v>1</v>
      </c>
      <c r="DC53" s="69">
        <v>9</v>
      </c>
      <c r="DD53" s="69">
        <f t="shared" si="6"/>
        <v>10</v>
      </c>
      <c r="DE53" s="70">
        <f t="shared" si="7"/>
        <v>1.0092165898617511</v>
      </c>
      <c r="DF53" s="70">
        <f t="shared" si="8"/>
        <v>1.1590623217172067</v>
      </c>
      <c r="DG53" s="67">
        <f t="shared" si="9"/>
        <v>18662</v>
      </c>
      <c r="DH53" s="67">
        <f t="shared" si="10"/>
        <v>18834</v>
      </c>
      <c r="DI53" s="67">
        <f t="shared" si="11"/>
        <v>18834</v>
      </c>
      <c r="DJ53" s="67">
        <f t="shared" si="12"/>
        <v>0</v>
      </c>
      <c r="DK53" s="67">
        <f t="shared" si="13"/>
        <v>136.6089308939939</v>
      </c>
      <c r="DL53" s="95">
        <f t="shared" si="14"/>
        <v>0</v>
      </c>
      <c r="DM53" s="10"/>
      <c r="DY53">
        <f t="shared" si="15"/>
        <v>9000001</v>
      </c>
      <c r="EA53" s="10"/>
      <c r="EB53" s="66">
        <v>1</v>
      </c>
      <c r="EC53" s="69">
        <v>9</v>
      </c>
      <c r="ED53" s="67">
        <f t="shared" si="16"/>
        <v>18662</v>
      </c>
      <c r="EE53" s="67">
        <f t="shared" si="17"/>
        <v>18834</v>
      </c>
      <c r="EF53" s="70">
        <f t="shared" si="18"/>
        <v>1.0092165898617511</v>
      </c>
      <c r="EG53" s="71" t="s">
        <v>64</v>
      </c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Y53" s="60"/>
      <c r="HA53" s="51">
        <v>7</v>
      </c>
      <c r="HB53" s="52">
        <f t="shared" si="67"/>
        <v>557</v>
      </c>
      <c r="HC53" s="52">
        <f t="shared" si="67"/>
        <v>4020</v>
      </c>
      <c r="HD53" s="101">
        <f t="shared" si="68"/>
        <v>-0.9888640910314812</v>
      </c>
    </row>
    <row r="54" spans="1:212" ht="16.5" thickTop="1">
      <c r="A54" s="7"/>
      <c r="B54" s="14">
        <v>1</v>
      </c>
      <c r="C54" s="14">
        <v>2</v>
      </c>
      <c r="D54" s="14">
        <v>3</v>
      </c>
      <c r="E54" s="14">
        <v>4</v>
      </c>
      <c r="F54" s="14">
        <v>5</v>
      </c>
      <c r="G54" s="14">
        <v>6</v>
      </c>
      <c r="H54" s="14">
        <v>7</v>
      </c>
      <c r="I54" s="14">
        <v>8</v>
      </c>
      <c r="J54" s="14">
        <v>9</v>
      </c>
      <c r="K54" s="7"/>
      <c r="L54" s="7"/>
      <c r="M54" s="7"/>
      <c r="N54" s="7"/>
      <c r="O54" s="7"/>
      <c r="CY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HA54" s="51">
        <v>8</v>
      </c>
      <c r="HB54" s="52">
        <f t="shared" si="67"/>
        <v>1351</v>
      </c>
      <c r="HC54" s="52">
        <f t="shared" si="67"/>
        <v>6947</v>
      </c>
      <c r="HD54" s="101">
        <f t="shared" si="68"/>
        <v>-3.0639823291342494</v>
      </c>
    </row>
    <row r="55" spans="1:212" ht="16.5" thickBot="1">
      <c r="A55" s="7" t="s">
        <v>125</v>
      </c>
      <c r="B55" s="62">
        <f>SUM(B9:B17)</f>
        <v>21829</v>
      </c>
      <c r="C55" s="62">
        <f>SUM(C9:C16)</f>
        <v>60078</v>
      </c>
      <c r="D55" s="62">
        <f>SUM(D9:D15)</f>
        <v>84426</v>
      </c>
      <c r="E55" s="62">
        <f>SUM(E9:E14)</f>
        <v>94982</v>
      </c>
      <c r="F55" s="62">
        <f>SUM(F9:F13)</f>
        <v>95436</v>
      </c>
      <c r="G55" s="62">
        <f>SUM(G9:G12)</f>
        <v>80077</v>
      </c>
      <c r="H55" s="62">
        <f>SUM(H9:H11)</f>
        <v>56368</v>
      </c>
      <c r="I55" s="62">
        <f>SUM(I9:I10)</f>
        <v>34777</v>
      </c>
      <c r="J55" s="62">
        <f>SUM(J9)</f>
        <v>18662</v>
      </c>
      <c r="K55" s="7"/>
      <c r="L55" s="7"/>
      <c r="M55" s="7"/>
      <c r="N55" s="7"/>
      <c r="O55" s="7"/>
      <c r="CY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HA55" s="66">
        <v>9</v>
      </c>
      <c r="HB55" s="67">
        <f t="shared" si="67"/>
        <v>3133</v>
      </c>
      <c r="HC55" s="67">
        <f t="shared" si="67"/>
        <v>5395</v>
      </c>
      <c r="HD55" s="102">
        <f t="shared" si="68"/>
        <v>-6.484107578296543</v>
      </c>
    </row>
    <row r="56" spans="1:151" ht="16.5" thickTop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CY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</row>
    <row r="57" spans="1:151" ht="15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CY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</row>
    <row r="58" spans="1:151" ht="15.75">
      <c r="A58" s="7" t="s">
        <v>126</v>
      </c>
      <c r="B58" s="7"/>
      <c r="C58" s="7"/>
      <c r="D58" s="7" t="s">
        <v>127</v>
      </c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CY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EB58" s="4"/>
      <c r="EC58" s="4"/>
      <c r="ED58" s="4"/>
      <c r="EE58" s="4"/>
      <c r="EF58" s="4"/>
      <c r="EG58" s="4"/>
      <c r="EH58" s="4"/>
      <c r="EI58" s="103"/>
      <c r="EJ58" s="103"/>
      <c r="EK58" s="103"/>
      <c r="EL58" s="10"/>
      <c r="EM58" s="10"/>
      <c r="EN58" s="10"/>
      <c r="EO58" s="10"/>
      <c r="EP58" s="10"/>
      <c r="EQ58" s="10"/>
      <c r="ER58" s="10"/>
      <c r="ES58" s="10"/>
      <c r="ET58" s="10"/>
      <c r="EU58" s="10"/>
    </row>
    <row r="59" spans="1:151" ht="15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CY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EB59" s="4"/>
      <c r="EC59" s="4"/>
      <c r="ED59" s="4"/>
      <c r="EE59" s="4"/>
      <c r="EF59" s="4"/>
      <c r="EG59" s="4"/>
      <c r="EH59" s="4"/>
      <c r="EI59" s="103"/>
      <c r="EJ59" s="103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</row>
    <row r="60" spans="1:151" ht="15.75">
      <c r="A60" s="92" t="s">
        <v>18</v>
      </c>
      <c r="B60" s="7"/>
      <c r="C60" s="7"/>
      <c r="D60" s="7"/>
      <c r="E60" s="7" t="s">
        <v>19</v>
      </c>
      <c r="F60" s="7"/>
      <c r="G60" s="7"/>
      <c r="H60" s="7"/>
      <c r="I60" s="7"/>
      <c r="J60" s="7"/>
      <c r="K60" s="7"/>
      <c r="L60" s="7"/>
      <c r="M60" s="7"/>
      <c r="N60" s="7"/>
      <c r="O60" s="7"/>
      <c r="CY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EB60" s="4"/>
      <c r="EC60" s="4"/>
      <c r="ED60" s="4"/>
      <c r="EE60" s="4"/>
      <c r="EF60" s="4"/>
      <c r="EG60" s="4"/>
      <c r="EH60" s="4"/>
      <c r="EI60" s="103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</row>
    <row r="61" spans="1:151" ht="15.75">
      <c r="A61" s="92" t="s">
        <v>39</v>
      </c>
      <c r="B61" s="14">
        <v>1</v>
      </c>
      <c r="C61" s="14">
        <v>2</v>
      </c>
      <c r="D61" s="14">
        <v>3</v>
      </c>
      <c r="E61" s="14">
        <v>4</v>
      </c>
      <c r="F61" s="14">
        <v>5</v>
      </c>
      <c r="G61" s="14">
        <v>6</v>
      </c>
      <c r="H61" s="14">
        <v>7</v>
      </c>
      <c r="I61" s="14">
        <v>8</v>
      </c>
      <c r="J61" s="14">
        <v>9</v>
      </c>
      <c r="K61" s="7"/>
      <c r="L61" s="104" t="s">
        <v>41</v>
      </c>
      <c r="M61" s="104" t="s">
        <v>128</v>
      </c>
      <c r="N61" s="7"/>
      <c r="O61" s="7"/>
      <c r="CY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EB61" s="4"/>
      <c r="EC61" s="4"/>
      <c r="ED61" s="4"/>
      <c r="EE61" s="4"/>
      <c r="EF61" s="4"/>
      <c r="EG61" s="4"/>
      <c r="EH61" s="4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</row>
    <row r="62" spans="1:151" ht="15.75">
      <c r="A62" s="14">
        <v>1</v>
      </c>
      <c r="B62" s="105" t="s">
        <v>58</v>
      </c>
      <c r="C62" s="105" t="s">
        <v>58</v>
      </c>
      <c r="D62" s="105" t="s">
        <v>58</v>
      </c>
      <c r="E62" s="105" t="s">
        <v>58</v>
      </c>
      <c r="F62" s="105" t="s">
        <v>58</v>
      </c>
      <c r="G62" s="105" t="s">
        <v>58</v>
      </c>
      <c r="H62" s="105" t="s">
        <v>58</v>
      </c>
      <c r="I62" s="105" t="s">
        <v>58</v>
      </c>
      <c r="J62" s="105" t="s">
        <v>58</v>
      </c>
      <c r="K62" s="7"/>
      <c r="L62" s="49" t="s">
        <v>58</v>
      </c>
      <c r="M62" s="7"/>
      <c r="N62" s="7"/>
      <c r="O62" s="7"/>
      <c r="CY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EB62" s="4"/>
      <c r="EC62" s="4"/>
      <c r="ED62" s="4"/>
      <c r="EE62" s="4"/>
      <c r="EF62" s="4"/>
      <c r="EG62" s="4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</row>
    <row r="63" spans="1:151" ht="15.75">
      <c r="A63" s="14">
        <v>2</v>
      </c>
      <c r="B63" s="105" t="s">
        <v>58</v>
      </c>
      <c r="C63" s="105" t="s">
        <v>58</v>
      </c>
      <c r="D63" s="105" t="s">
        <v>58</v>
      </c>
      <c r="E63" s="105" t="s">
        <v>58</v>
      </c>
      <c r="F63" s="105" t="s">
        <v>58</v>
      </c>
      <c r="G63" s="105" t="s">
        <v>58</v>
      </c>
      <c r="H63" s="105" t="s">
        <v>58</v>
      </c>
      <c r="I63" s="105" t="s">
        <v>58</v>
      </c>
      <c r="J63" s="106">
        <f aca="true" t="shared" si="69" ref="J63:J71">J$47/(J$22^2)*(1/J10+1/J$55)</f>
        <v>0.00014964151299398678</v>
      </c>
      <c r="K63" s="7"/>
      <c r="L63" s="62">
        <f aca="true" t="shared" si="70" ref="L63:L71">(($K10^2)*SUM(B63:J63))^0.5</f>
        <v>206.220059401112</v>
      </c>
      <c r="M63" s="63">
        <f aca="true" t="shared" si="71" ref="M63:M71">L63/M10</f>
        <v>1.3394921243427178</v>
      </c>
      <c r="N63" s="7"/>
      <c r="O63" s="7"/>
      <c r="CY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EB63" s="4"/>
      <c r="EC63" s="4"/>
      <c r="ED63" s="4"/>
      <c r="EE63" s="4"/>
      <c r="EF63" s="4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</row>
    <row r="64" spans="1:151" ht="15.75">
      <c r="A64" s="14">
        <v>3</v>
      </c>
      <c r="B64" s="105" t="s">
        <v>58</v>
      </c>
      <c r="C64" s="105" t="s">
        <v>58</v>
      </c>
      <c r="D64" s="105" t="s">
        <v>58</v>
      </c>
      <c r="E64" s="105" t="s">
        <v>58</v>
      </c>
      <c r="F64" s="105" t="s">
        <v>58</v>
      </c>
      <c r="G64" s="105" t="s">
        <v>58</v>
      </c>
      <c r="H64" s="105" t="s">
        <v>58</v>
      </c>
      <c r="I64" s="106">
        <f aca="true" t="shared" si="72" ref="I64:I71">I$47/(I$22^2)*(1/I11+1/I$55)</f>
        <v>0.0005440360140775194</v>
      </c>
      <c r="J64" s="106">
        <f t="shared" si="69"/>
        <v>0.00012595124490012247</v>
      </c>
      <c r="K64" s="7"/>
      <c r="L64" s="62">
        <f t="shared" si="70"/>
        <v>623.376672631965</v>
      </c>
      <c r="M64" s="63">
        <f t="shared" si="71"/>
        <v>1.009727942449789</v>
      </c>
      <c r="N64" s="7"/>
      <c r="O64" s="7"/>
      <c r="CY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EB64" s="4"/>
      <c r="EC64" s="4"/>
      <c r="ED64" s="4"/>
      <c r="EE64" s="4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</row>
    <row r="65" spans="1:151" ht="15.75">
      <c r="A65" s="14">
        <v>4</v>
      </c>
      <c r="B65" s="105" t="s">
        <v>58</v>
      </c>
      <c r="C65" s="105" t="s">
        <v>58</v>
      </c>
      <c r="D65" s="105" t="s">
        <v>58</v>
      </c>
      <c r="E65" s="105" t="s">
        <v>58</v>
      </c>
      <c r="F65" s="105" t="s">
        <v>58</v>
      </c>
      <c r="G65" s="105" t="s">
        <v>58</v>
      </c>
      <c r="H65" s="106">
        <f aca="true" t="shared" si="73" ref="H65:H71">H$47/(H$22^2)*(1/H12+1/H$55)</f>
        <v>6.881242710499885E-05</v>
      </c>
      <c r="I65" s="106">
        <f t="shared" si="72"/>
        <v>0.0004917522245678944</v>
      </c>
      <c r="J65" s="106">
        <f t="shared" si="69"/>
        <v>0.00011705507743484113</v>
      </c>
      <c r="K65" s="7"/>
      <c r="L65" s="62">
        <f t="shared" si="70"/>
        <v>747.1752250814905</v>
      </c>
      <c r="M65" s="63">
        <f t="shared" si="71"/>
        <v>0.4566688896515387</v>
      </c>
      <c r="N65" s="7"/>
      <c r="O65" s="7"/>
      <c r="CY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EB65" s="4"/>
      <c r="EC65" s="4"/>
      <c r="ED65" s="4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</row>
    <row r="66" spans="1:151" ht="15.75">
      <c r="A66" s="14">
        <v>5</v>
      </c>
      <c r="B66" s="105" t="s">
        <v>58</v>
      </c>
      <c r="C66" s="105" t="s">
        <v>58</v>
      </c>
      <c r="D66" s="105" t="s">
        <v>58</v>
      </c>
      <c r="E66" s="105" t="s">
        <v>58</v>
      </c>
      <c r="F66" s="105" t="s">
        <v>58</v>
      </c>
      <c r="G66" s="106">
        <f aca="true" t="shared" si="74" ref="G66:G71">G$47/(G$22^2)*(1/G13+1/G$55)</f>
        <v>0.0019057709436459242</v>
      </c>
      <c r="H66" s="106">
        <f t="shared" si="73"/>
        <v>6.845308153966364E-05</v>
      </c>
      <c r="I66" s="106">
        <f t="shared" si="72"/>
        <v>0.0004896454167604309</v>
      </c>
      <c r="J66" s="106">
        <f t="shared" si="69"/>
        <v>0.00011669660083534163</v>
      </c>
      <c r="K66" s="7"/>
      <c r="L66" s="62">
        <f t="shared" si="70"/>
        <v>1469.4571495894306</v>
      </c>
      <c r="M66" s="63">
        <f t="shared" si="71"/>
        <v>0.5349829637301856</v>
      </c>
      <c r="N66" s="7"/>
      <c r="O66" s="7"/>
      <c r="CY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EB66" s="4"/>
      <c r="EC66" s="4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</row>
    <row r="67" spans="1:151" ht="15.75">
      <c r="A67" s="14">
        <v>6</v>
      </c>
      <c r="B67" s="105" t="s">
        <v>58</v>
      </c>
      <c r="C67" s="105" t="s">
        <v>58</v>
      </c>
      <c r="D67" s="105" t="s">
        <v>58</v>
      </c>
      <c r="E67" s="105" t="s">
        <v>58</v>
      </c>
      <c r="F67" s="106">
        <f>F$47/(F$22^2)*(1/F14+1/F$55)</f>
        <v>0.007087739660721606</v>
      </c>
      <c r="G67" s="106">
        <f t="shared" si="74"/>
        <v>0.0025999512655504493</v>
      </c>
      <c r="H67" s="106">
        <f t="shared" si="73"/>
        <v>9.074937077964221E-05</v>
      </c>
      <c r="I67" s="106">
        <f t="shared" si="72"/>
        <v>0.000620366373910503</v>
      </c>
      <c r="J67" s="106">
        <f t="shared" si="69"/>
        <v>0.00013893897341269321</v>
      </c>
      <c r="K67" s="7"/>
      <c r="L67" s="62">
        <f t="shared" si="70"/>
        <v>2001.856930931855</v>
      </c>
      <c r="M67" s="63">
        <f t="shared" si="71"/>
        <v>0.5485887435880851</v>
      </c>
      <c r="N67" s="7"/>
      <c r="O67" s="7"/>
      <c r="CY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EB67" s="4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</row>
    <row r="68" spans="1:151" ht="15.75">
      <c r="A68" s="14">
        <v>7</v>
      </c>
      <c r="B68" s="105" t="s">
        <v>58</v>
      </c>
      <c r="C68" s="105" t="s">
        <v>58</v>
      </c>
      <c r="D68" s="105" t="s">
        <v>58</v>
      </c>
      <c r="E68" s="106">
        <f>E$47/(E$22^2)*(1/E15+1/E$55)</f>
        <v>0.004091600699052586</v>
      </c>
      <c r="F68" s="106">
        <f>F$47/(F$22^2)*(1/F15+1/F$55)</f>
        <v>0.007687634359170166</v>
      </c>
      <c r="G68" s="106">
        <f t="shared" si="74"/>
        <v>0.0028102150991040206</v>
      </c>
      <c r="H68" s="106">
        <f t="shared" si="73"/>
        <v>9.750280803749336E-05</v>
      </c>
      <c r="I68" s="106">
        <f t="shared" si="72"/>
        <v>0.0006599611142234482</v>
      </c>
      <c r="J68" s="106">
        <f t="shared" si="69"/>
        <v>0.00014567607957641994</v>
      </c>
      <c r="K68" s="7"/>
      <c r="L68" s="62">
        <f t="shared" si="70"/>
        <v>2209.2420936420785</v>
      </c>
      <c r="M68" s="63">
        <f t="shared" si="71"/>
        <v>0.4064616563550139</v>
      </c>
      <c r="N68" s="7"/>
      <c r="O68" s="7"/>
      <c r="CY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</row>
    <row r="69" spans="1:151" ht="15.75">
      <c r="A69" s="14">
        <v>8</v>
      </c>
      <c r="B69" s="105" t="s">
        <v>58</v>
      </c>
      <c r="C69" s="105" t="s">
        <v>58</v>
      </c>
      <c r="D69" s="106">
        <f>D$47/(D$22^2)*(1/D16+1/D$55)</f>
        <v>0.03771988018538842</v>
      </c>
      <c r="E69" s="106">
        <f>E$47/(E$22^2)*(1/E16+1/E$55)</f>
        <v>0.0031461202876267177</v>
      </c>
      <c r="F69" s="106">
        <f>F$47/(F$22^2)*(1/F16+1/F$55)</f>
        <v>0.005944418983151844</v>
      </c>
      <c r="G69" s="106">
        <f t="shared" si="74"/>
        <v>0.0021992159543890045</v>
      </c>
      <c r="H69" s="106">
        <f t="shared" si="73"/>
        <v>7.787820442071269E-05</v>
      </c>
      <c r="I69" s="106">
        <f t="shared" si="72"/>
        <v>0.0005449039878619674</v>
      </c>
      <c r="J69" s="106">
        <f t="shared" si="69"/>
        <v>0.00012609893197893491</v>
      </c>
      <c r="K69" s="7"/>
      <c r="L69" s="62">
        <f t="shared" si="70"/>
        <v>5357.869297697076</v>
      </c>
      <c r="M69" s="63">
        <f t="shared" si="71"/>
        <v>0.49122350165057055</v>
      </c>
      <c r="N69" s="7"/>
      <c r="O69" s="7"/>
      <c r="CY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</row>
    <row r="70" spans="1:151" ht="15.75">
      <c r="A70" s="14">
        <v>9</v>
      </c>
      <c r="B70" s="105" t="s">
        <v>58</v>
      </c>
      <c r="C70" s="106">
        <f>C$47/(C$22^2)*(1/C17+1/C$55)</f>
        <v>0.08495414275041663</v>
      </c>
      <c r="D70" s="106">
        <f>D$47/(D$22^2)*(1/D17+1/D$55)</f>
        <v>0.053946234788295085</v>
      </c>
      <c r="E70" s="106">
        <f>E$47/(E$22^2)*(1/E17+1/E$55)</f>
        <v>0.004476336399212271</v>
      </c>
      <c r="F70" s="106">
        <f>F$47/(F$22^2)*(1/F17+1/F$55)</f>
        <v>0.00839698505551098</v>
      </c>
      <c r="G70" s="106">
        <f t="shared" si="74"/>
        <v>0.0030588433952570726</v>
      </c>
      <c r="H70" s="106">
        <f t="shared" si="73"/>
        <v>0.00010548846857748479</v>
      </c>
      <c r="I70" s="106">
        <f t="shared" si="72"/>
        <v>0.0007067802587917506</v>
      </c>
      <c r="J70" s="106">
        <f t="shared" si="69"/>
        <v>0.00015364242927232632</v>
      </c>
      <c r="K70" s="7"/>
      <c r="L70" s="62">
        <f t="shared" si="70"/>
        <v>6333.165865736363</v>
      </c>
      <c r="M70" s="63">
        <f t="shared" si="71"/>
        <v>0.5946643493410303</v>
      </c>
      <c r="N70" s="7"/>
      <c r="O70" s="7"/>
      <c r="CY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</row>
    <row r="71" spans="1:151" ht="15.75">
      <c r="A71" s="14">
        <v>10</v>
      </c>
      <c r="B71" s="106">
        <f>B$47/(B$22^2)*(1/B18+1/B$55)</f>
        <v>1.6444080821275886</v>
      </c>
      <c r="C71" s="106">
        <f>C$47/(C$22^2)*(1/C18+1/C$55)</f>
        <v>0.0749678024673805</v>
      </c>
      <c r="D71" s="106">
        <f>D$47/(D$22^2)*(1/D18+1/D$55)</f>
        <v>0.047684994708248406</v>
      </c>
      <c r="E71" s="106">
        <f>E$47/(E$22^2)*(1/E18+1/E$55)</f>
        <v>0.003963047824125212</v>
      </c>
      <c r="F71" s="106">
        <f>F$47/(F$22^2)*(1/F18+1/F$55)</f>
        <v>0.007450616917564154</v>
      </c>
      <c r="G71" s="106">
        <f t="shared" si="74"/>
        <v>0.002727140192757914</v>
      </c>
      <c r="H71" s="106">
        <f t="shared" si="73"/>
        <v>9.483453571396349E-05</v>
      </c>
      <c r="I71" s="106">
        <f t="shared" si="72"/>
        <v>0.0006443172952760578</v>
      </c>
      <c r="J71" s="106">
        <f t="shared" si="69"/>
        <v>0.0001430142596422144</v>
      </c>
      <c r="K71" s="7"/>
      <c r="L71" s="62">
        <f t="shared" si="70"/>
        <v>24566.287910989606</v>
      </c>
      <c r="M71" s="63">
        <f t="shared" si="71"/>
        <v>1.50349608729843</v>
      </c>
      <c r="N71" s="7"/>
      <c r="O71" s="7"/>
      <c r="CY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</row>
    <row r="72" spans="1:151" ht="15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CY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</row>
    <row r="73" spans="1:151" ht="15.75">
      <c r="A73" s="7"/>
      <c r="B73" s="7"/>
      <c r="C73" s="7"/>
      <c r="D73" s="7"/>
      <c r="E73" s="7"/>
      <c r="F73" s="7"/>
      <c r="G73" s="7"/>
      <c r="H73" s="7"/>
      <c r="I73" s="7"/>
      <c r="J73" s="7"/>
      <c r="K73" s="7" t="s">
        <v>76</v>
      </c>
      <c r="L73" s="62">
        <f>F112</f>
        <v>26909.01115564366</v>
      </c>
      <c r="M73" s="63">
        <f>L73/M20</f>
        <v>0.5161387425182639</v>
      </c>
      <c r="N73" s="7"/>
      <c r="O73" s="7"/>
      <c r="CY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</row>
    <row r="74" spans="1:151" ht="15.75">
      <c r="A74" s="7" t="s">
        <v>129</v>
      </c>
      <c r="B74" s="7"/>
      <c r="C74" s="7"/>
      <c r="D74" s="7" t="s">
        <v>130</v>
      </c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CY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</row>
    <row r="75" spans="1:151" ht="15.75">
      <c r="A75" s="7"/>
      <c r="B75" s="7"/>
      <c r="C75" s="7"/>
      <c r="D75" s="7"/>
      <c r="E75" s="7"/>
      <c r="F75" s="7"/>
      <c r="G75" s="7"/>
      <c r="H75" s="7"/>
      <c r="I75" s="7"/>
      <c r="J75" s="7" t="s">
        <v>131</v>
      </c>
      <c r="K75" s="7"/>
      <c r="L75" s="7"/>
      <c r="M75" s="7"/>
      <c r="N75" s="7"/>
      <c r="O75" s="7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</row>
    <row r="76" spans="1:151" ht="15.75">
      <c r="A76" s="92" t="s">
        <v>18</v>
      </c>
      <c r="B76" s="7"/>
      <c r="C76" s="7"/>
      <c r="D76" s="7"/>
      <c r="E76" s="7"/>
      <c r="F76" s="7"/>
      <c r="G76" s="7"/>
      <c r="H76" s="7"/>
      <c r="I76" s="7"/>
      <c r="J76" s="7" t="s">
        <v>132</v>
      </c>
      <c r="K76" s="7"/>
      <c r="L76" s="7"/>
      <c r="M76" s="7"/>
      <c r="N76" s="7"/>
      <c r="O76" s="7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</row>
    <row r="77" spans="1:151" ht="15.75">
      <c r="A77" s="92" t="s">
        <v>39</v>
      </c>
      <c r="B77" s="107" t="s">
        <v>133</v>
      </c>
      <c r="C77" s="14"/>
      <c r="D77" s="14"/>
      <c r="E77" s="14"/>
      <c r="F77" s="14"/>
      <c r="G77" s="14"/>
      <c r="H77" s="14"/>
      <c r="I77" s="14"/>
      <c r="J77" s="14"/>
      <c r="K77" s="7"/>
      <c r="L77" s="7"/>
      <c r="M77" s="7"/>
      <c r="N77" s="7"/>
      <c r="O77" s="7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</row>
    <row r="78" spans="1:151" ht="15.75">
      <c r="A78" s="14">
        <v>1</v>
      </c>
      <c r="B78" s="105" t="s">
        <v>58</v>
      </c>
      <c r="C78" s="106"/>
      <c r="D78" s="106"/>
      <c r="E78" s="106"/>
      <c r="F78" s="106"/>
      <c r="G78" s="106"/>
      <c r="H78" s="106"/>
      <c r="I78" s="106"/>
      <c r="J78" s="106"/>
      <c r="K78" s="7"/>
      <c r="L78" s="7"/>
      <c r="M78" s="7"/>
      <c r="N78" s="7"/>
      <c r="O78" s="7"/>
      <c r="DY78" t="s">
        <v>134</v>
      </c>
      <c r="EA78" s="10">
        <f>IF(MOD(EA80,2)=0,1,0)</f>
        <v>1</v>
      </c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</row>
    <row r="79" spans="1:151" ht="15.75">
      <c r="A79" s="14">
        <v>2</v>
      </c>
      <c r="B79" s="62">
        <f>SUM(K11:K$18)</f>
        <v>177430.2743441595</v>
      </c>
      <c r="C79" s="106"/>
      <c r="D79" s="106"/>
      <c r="E79" s="106"/>
      <c r="F79" s="106"/>
      <c r="G79" s="106"/>
      <c r="H79" s="106"/>
      <c r="I79" s="106"/>
      <c r="J79" s="106"/>
      <c r="K79" s="7"/>
      <c r="L79" s="7"/>
      <c r="M79" s="7"/>
      <c r="N79" s="7"/>
      <c r="O79" s="7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</row>
    <row r="80" spans="1:151" ht="15.75">
      <c r="A80" s="14">
        <v>3</v>
      </c>
      <c r="B80" s="62">
        <f>SUM(K12:K$18)</f>
        <v>153346.90342034458</v>
      </c>
      <c r="C80" s="106"/>
      <c r="D80" s="106"/>
      <c r="E80" s="106"/>
      <c r="F80" s="106"/>
      <c r="G80" s="106"/>
      <c r="H80" s="106"/>
      <c r="I80" s="106"/>
      <c r="J80" s="106"/>
      <c r="K80" s="7"/>
      <c r="L80" s="7"/>
      <c r="M80" s="7"/>
      <c r="N80" s="7"/>
      <c r="O80" s="7"/>
      <c r="DY80" t="s">
        <v>135</v>
      </c>
      <c r="EA80">
        <f>10-EA86</f>
        <v>0</v>
      </c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</row>
    <row r="81" spans="1:151" ht="15.75">
      <c r="A81" s="14">
        <v>4</v>
      </c>
      <c r="B81" s="62">
        <f>SUM(K13:K$18)</f>
        <v>124643.76125692365</v>
      </c>
      <c r="C81" s="106"/>
      <c r="D81" s="106"/>
      <c r="E81" s="106"/>
      <c r="F81" s="106"/>
      <c r="G81" s="106"/>
      <c r="H81" s="106"/>
      <c r="I81" s="106"/>
      <c r="J81" s="106"/>
      <c r="K81" s="7"/>
      <c r="L81" s="7"/>
      <c r="M81" s="7"/>
      <c r="N81" s="7"/>
      <c r="O81" s="7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</row>
    <row r="82" spans="1:143" ht="15.75">
      <c r="A82" s="14">
        <v>5</v>
      </c>
      <c r="B82" s="62">
        <f>SUM(K14:K$18)</f>
        <v>95717.02491350142</v>
      </c>
      <c r="C82" s="106"/>
      <c r="D82" s="106"/>
      <c r="E82" s="106"/>
      <c r="F82" s="106"/>
      <c r="G82" s="106"/>
      <c r="H82" s="106"/>
      <c r="I82" s="106"/>
      <c r="J82" s="106"/>
      <c r="K82" s="7"/>
      <c r="L82" s="7"/>
      <c r="M82" s="7"/>
      <c r="N82" s="7"/>
      <c r="O82" s="7"/>
      <c r="DY82" t="s">
        <v>136</v>
      </c>
      <c r="EA82">
        <f>TRUNC(+EA80/2+0.5)</f>
        <v>0</v>
      </c>
      <c r="EB82">
        <f>EA82+1</f>
        <v>1</v>
      </c>
      <c r="EC82" s="10"/>
      <c r="EF82" s="10"/>
      <c r="EG82" s="10"/>
      <c r="EH82" s="10"/>
      <c r="EI82" s="10"/>
      <c r="EJ82" s="10"/>
      <c r="EK82" s="10"/>
      <c r="EL82" s="10"/>
      <c r="EM82" s="10"/>
    </row>
    <row r="83" spans="1:143" ht="15.75">
      <c r="A83" s="14">
        <v>6</v>
      </c>
      <c r="B83" s="62">
        <f>SUM(K15:K$18)</f>
        <v>76215.92172950505</v>
      </c>
      <c r="C83" s="106"/>
      <c r="D83" s="106"/>
      <c r="E83" s="106"/>
      <c r="F83" s="106"/>
      <c r="G83" s="106"/>
      <c r="H83" s="106"/>
      <c r="I83" s="106"/>
      <c r="J83" s="106"/>
      <c r="K83" s="7"/>
      <c r="L83" s="7"/>
      <c r="M83" s="7"/>
      <c r="N83" s="7"/>
      <c r="O83" s="7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</row>
    <row r="84" spans="1:143" ht="15.75">
      <c r="A84" s="14">
        <v>7</v>
      </c>
      <c r="B84" s="62">
        <f>SUM(K16:K$18)</f>
        <v>58466.61913920987</v>
      </c>
      <c r="C84" s="106"/>
      <c r="D84" s="106"/>
      <c r="E84" s="106"/>
      <c r="F84" s="106"/>
      <c r="G84" s="106"/>
      <c r="H84" s="106"/>
      <c r="I84" s="106"/>
      <c r="J84" s="106"/>
      <c r="K84" s="7"/>
      <c r="L84" s="7"/>
      <c r="M84" s="7"/>
      <c r="N84" s="7"/>
      <c r="O84" s="7"/>
      <c r="DY84" t="s">
        <v>137</v>
      </c>
      <c r="EA84" t="e">
        <f>IF(EA78=0,VLOOKUP(EA82,DZ88:EA96,2),(VLOOKUP(EB82,DZ88:EA96,2)+VLOOKUP(EA82,DZ88:EA96,2))/2)</f>
        <v>#VALUE!</v>
      </c>
      <c r="EB84" s="10"/>
      <c r="EC84" s="10"/>
      <c r="ED84" s="10"/>
      <c r="EE84" s="10"/>
      <c r="EF84" s="10"/>
      <c r="EG84" s="60"/>
      <c r="EH84" s="10"/>
      <c r="EI84" s="10"/>
      <c r="EJ84" s="10"/>
      <c r="EK84" s="10"/>
      <c r="EL84" s="10"/>
      <c r="EM84" s="10"/>
    </row>
    <row r="85" spans="1:143" ht="15.75">
      <c r="A85" s="14">
        <v>8</v>
      </c>
      <c r="B85" s="62">
        <f>SUM(K17:K$18)</f>
        <v>34447.42662970252</v>
      </c>
      <c r="C85" s="106"/>
      <c r="D85" s="106"/>
      <c r="E85" s="106"/>
      <c r="F85" s="106"/>
      <c r="G85" s="106"/>
      <c r="H85" s="106"/>
      <c r="I85" s="106"/>
      <c r="J85" s="106"/>
      <c r="K85" s="7"/>
      <c r="L85" s="7"/>
      <c r="M85" s="7"/>
      <c r="N85" s="7"/>
      <c r="O85" s="7"/>
      <c r="EA85" s="10"/>
      <c r="EB85" s="10"/>
      <c r="EC85" s="10"/>
      <c r="ED85" s="10"/>
      <c r="EE85" s="10"/>
      <c r="EF85" s="10"/>
      <c r="EG85" s="60"/>
      <c r="EH85" s="10"/>
      <c r="EI85" s="10"/>
      <c r="EJ85" s="10"/>
      <c r="EK85" s="10"/>
      <c r="EL85" s="10"/>
      <c r="EM85" s="10"/>
    </row>
    <row r="86" spans="1:143" ht="15.75">
      <c r="A86" s="14">
        <v>9</v>
      </c>
      <c r="B86" s="62">
        <f>SUM(K$18)</f>
        <v>18402.44252900036</v>
      </c>
      <c r="C86" s="106"/>
      <c r="D86" s="106"/>
      <c r="E86" s="106"/>
      <c r="F86" s="106"/>
      <c r="G86" s="106"/>
      <c r="H86" s="106"/>
      <c r="I86" s="106"/>
      <c r="J86" s="106"/>
      <c r="K86" s="7"/>
      <c r="L86" s="7"/>
      <c r="M86" s="7"/>
      <c r="N86" s="7"/>
      <c r="O86" s="7"/>
      <c r="DY86" t="s">
        <v>138</v>
      </c>
      <c r="EA86">
        <f>$C$218</f>
        <v>10</v>
      </c>
      <c r="EB86" s="10"/>
      <c r="EC86" s="10"/>
      <c r="ED86" s="10"/>
      <c r="EE86" s="10"/>
      <c r="EF86" s="10"/>
      <c r="EG86" s="60"/>
      <c r="EH86" s="10"/>
      <c r="EI86" s="10"/>
      <c r="EJ86" s="10"/>
      <c r="EK86" s="10"/>
      <c r="EL86" s="10"/>
      <c r="EM86" s="10"/>
    </row>
    <row r="87" spans="1:143" ht="15.75">
      <c r="A87" s="14">
        <v>10</v>
      </c>
      <c r="B87" s="49" t="s">
        <v>58</v>
      </c>
      <c r="C87" s="106"/>
      <c r="D87" s="106"/>
      <c r="E87" s="106"/>
      <c r="F87" s="106"/>
      <c r="G87" s="106"/>
      <c r="H87" s="106"/>
      <c r="I87" s="106"/>
      <c r="J87" s="106"/>
      <c r="K87" s="7"/>
      <c r="L87" s="7"/>
      <c r="M87" s="7"/>
      <c r="N87" s="7"/>
      <c r="O87" s="7"/>
      <c r="EA87" s="10"/>
      <c r="EB87" s="10"/>
      <c r="EC87" s="10"/>
      <c r="ED87" s="10"/>
      <c r="EE87" s="10"/>
      <c r="EF87" s="10"/>
      <c r="EG87" s="60"/>
      <c r="EH87" s="10"/>
      <c r="EI87" s="10"/>
      <c r="EJ87" s="10"/>
      <c r="EK87" s="10"/>
      <c r="EL87" s="10"/>
      <c r="EM87" s="10"/>
    </row>
    <row r="88" spans="1:143" ht="15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DY88" t="s">
        <v>139</v>
      </c>
      <c r="DZ88">
        <v>1</v>
      </c>
      <c r="EA88" s="30">
        <v>1.0092165898617511</v>
      </c>
      <c r="EE88" s="10"/>
      <c r="EF88" s="10"/>
      <c r="EG88" s="60"/>
      <c r="EH88" s="10"/>
      <c r="EI88" s="10"/>
      <c r="EJ88" s="10"/>
      <c r="EK88" s="10"/>
      <c r="EL88" s="10"/>
      <c r="EM88" s="10"/>
    </row>
    <row r="89" spans="1:143" ht="15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DZ89">
        <v>2</v>
      </c>
      <c r="EA89" s="30"/>
      <c r="EE89" s="10"/>
      <c r="EF89" s="10"/>
      <c r="EG89" s="60"/>
      <c r="EH89" s="10"/>
      <c r="EI89" s="10"/>
      <c r="EJ89" s="10"/>
      <c r="EK89" s="10"/>
      <c r="EL89" s="10"/>
      <c r="EM89" s="10"/>
    </row>
    <row r="90" spans="1:143" ht="15.75">
      <c r="A90" s="7" t="s">
        <v>140</v>
      </c>
      <c r="B90" s="7"/>
      <c r="C90" s="7"/>
      <c r="D90" s="7" t="s">
        <v>141</v>
      </c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DZ90">
        <v>3</v>
      </c>
      <c r="EA90" s="30"/>
      <c r="EE90" s="10"/>
      <c r="EF90" s="10"/>
      <c r="EG90" s="60"/>
      <c r="EH90" s="10"/>
      <c r="EI90" s="10"/>
      <c r="EJ90" s="10"/>
      <c r="EK90" s="10"/>
      <c r="EL90" s="10"/>
      <c r="EM90" s="10"/>
    </row>
    <row r="91" spans="1:143" ht="15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DZ91">
        <v>4</v>
      </c>
      <c r="EA91" s="30"/>
      <c r="EE91" s="10"/>
      <c r="EF91" s="10"/>
      <c r="EG91" s="60"/>
      <c r="EH91" s="10"/>
      <c r="EI91" s="10"/>
      <c r="EJ91" s="10"/>
      <c r="EK91" s="10"/>
      <c r="EL91" s="10"/>
      <c r="EM91" s="10"/>
    </row>
    <row r="92" spans="1:143" ht="15.75">
      <c r="A92" s="14"/>
      <c r="B92" s="7"/>
      <c r="C92" s="7"/>
      <c r="D92" s="7"/>
      <c r="E92" s="7" t="s">
        <v>19</v>
      </c>
      <c r="F92" s="7"/>
      <c r="G92" s="7"/>
      <c r="H92" s="7"/>
      <c r="I92" s="7"/>
      <c r="J92" s="7"/>
      <c r="K92" s="7"/>
      <c r="L92" s="7"/>
      <c r="M92" s="7"/>
      <c r="N92" s="7"/>
      <c r="O92" s="7"/>
      <c r="DZ92">
        <v>5</v>
      </c>
      <c r="EA92" s="30"/>
      <c r="EE92" s="10"/>
      <c r="EF92" s="10"/>
      <c r="EG92" s="60"/>
      <c r="EH92" s="10"/>
      <c r="EI92" s="10"/>
      <c r="EJ92" s="10"/>
      <c r="EK92" s="10"/>
      <c r="EL92" s="10"/>
      <c r="EM92" s="10"/>
    </row>
    <row r="93" spans="1:143" ht="15.75">
      <c r="A93" s="14"/>
      <c r="B93" s="14">
        <v>1</v>
      </c>
      <c r="C93" s="14">
        <v>2</v>
      </c>
      <c r="D93" s="14">
        <v>3</v>
      </c>
      <c r="E93" s="14">
        <v>4</v>
      </c>
      <c r="F93" s="14">
        <v>5</v>
      </c>
      <c r="G93" s="14">
        <v>6</v>
      </c>
      <c r="H93" s="14">
        <v>7</v>
      </c>
      <c r="I93" s="14">
        <v>8</v>
      </c>
      <c r="J93" s="14">
        <v>9</v>
      </c>
      <c r="K93" s="7"/>
      <c r="L93" s="7"/>
      <c r="M93" s="7"/>
      <c r="N93" s="7"/>
      <c r="O93" s="7"/>
      <c r="DZ93">
        <v>6</v>
      </c>
      <c r="EA93" s="30"/>
      <c r="EE93" s="10"/>
      <c r="EF93" s="10"/>
      <c r="EG93" s="60"/>
      <c r="EH93" s="10"/>
      <c r="EI93" s="10"/>
      <c r="EJ93" s="10"/>
      <c r="EK93" s="10"/>
      <c r="EL93" s="10"/>
      <c r="EM93" s="10"/>
    </row>
    <row r="94" spans="1:143" ht="15.75">
      <c r="A94" s="14" t="s">
        <v>142</v>
      </c>
      <c r="B94" s="106">
        <f aca="true" t="shared" si="75" ref="B94:J94">2*B47/(B22^2)/B55</f>
        <v>0.28397906189764066</v>
      </c>
      <c r="C94" s="106">
        <f t="shared" si="75"/>
        <v>0.014000507083484727</v>
      </c>
      <c r="D94" s="106">
        <f t="shared" si="75"/>
        <v>0.010141341200164303</v>
      </c>
      <c r="E94" s="106">
        <f t="shared" si="75"/>
        <v>0.0009391584217143892</v>
      </c>
      <c r="F94" s="106">
        <f t="shared" si="75"/>
        <v>0.002019172760796472</v>
      </c>
      <c r="G94" s="106">
        <f t="shared" si="75"/>
        <v>0.0009391020507759544</v>
      </c>
      <c r="H94" s="106">
        <f t="shared" si="75"/>
        <v>4.4646634253035386E-05</v>
      </c>
      <c r="I94" s="106">
        <f t="shared" si="75"/>
        <v>0.00043838226418086535</v>
      </c>
      <c r="J94" s="106">
        <f t="shared" si="75"/>
        <v>0.00014135677391005798</v>
      </c>
      <c r="K94" s="7"/>
      <c r="L94" s="7"/>
      <c r="M94" s="7"/>
      <c r="N94" s="7"/>
      <c r="O94" s="7"/>
      <c r="DZ94">
        <v>7</v>
      </c>
      <c r="EA94" s="30"/>
      <c r="EB94" s="10"/>
      <c r="EC94" s="10"/>
      <c r="ED94" s="10"/>
      <c r="EE94" s="10"/>
      <c r="EF94" s="10"/>
      <c r="EG94" s="60"/>
      <c r="EH94" s="10"/>
      <c r="EI94" s="10"/>
      <c r="EJ94" s="10"/>
      <c r="EK94" s="10"/>
      <c r="EL94" s="10"/>
      <c r="EM94" s="10"/>
    </row>
    <row r="95" spans="1:143" ht="15.75">
      <c r="A95" s="14"/>
      <c r="B95" s="106"/>
      <c r="C95" s="106"/>
      <c r="D95" s="106"/>
      <c r="E95" s="106"/>
      <c r="F95" s="106"/>
      <c r="G95" s="106"/>
      <c r="H95" s="106"/>
      <c r="I95" s="106"/>
      <c r="J95" s="106"/>
      <c r="K95" s="7"/>
      <c r="L95" s="7"/>
      <c r="M95" s="7"/>
      <c r="N95" s="7"/>
      <c r="O95" s="7"/>
      <c r="DZ95">
        <v>8</v>
      </c>
      <c r="EA95" s="30"/>
      <c r="EB95" s="10"/>
      <c r="EC95" s="10"/>
      <c r="ED95" s="10"/>
      <c r="EE95" s="10"/>
      <c r="EF95" s="10"/>
      <c r="EG95" s="60"/>
      <c r="EH95" s="10"/>
      <c r="EI95" s="10"/>
      <c r="EJ95" s="10"/>
      <c r="EK95" s="10"/>
      <c r="EL95" s="10"/>
      <c r="EM95" s="10"/>
    </row>
    <row r="96" spans="1:143" ht="15.75">
      <c r="A96" s="14"/>
      <c r="B96" s="106"/>
      <c r="C96" s="106"/>
      <c r="D96" s="106"/>
      <c r="E96" s="106"/>
      <c r="F96" s="106"/>
      <c r="G96" s="106"/>
      <c r="H96" s="106"/>
      <c r="I96" s="106"/>
      <c r="J96" s="106"/>
      <c r="K96" s="7"/>
      <c r="L96" s="7"/>
      <c r="M96" s="7"/>
      <c r="N96" s="7"/>
      <c r="O96" s="7"/>
      <c r="DZ96">
        <v>9</v>
      </c>
      <c r="EA96" s="30"/>
      <c r="EB96" s="10"/>
      <c r="EC96" s="10"/>
      <c r="ED96" s="10"/>
      <c r="EE96" s="10"/>
      <c r="EF96" s="10"/>
      <c r="EG96" s="60"/>
      <c r="EH96" s="10"/>
      <c r="EI96" s="10"/>
      <c r="EJ96" s="10"/>
      <c r="EK96" s="10"/>
      <c r="EL96" s="10"/>
      <c r="EM96" s="10"/>
    </row>
    <row r="97" spans="1:143" ht="15.75">
      <c r="A97" s="7" t="s">
        <v>143</v>
      </c>
      <c r="B97" s="7"/>
      <c r="C97" s="7" t="s">
        <v>144</v>
      </c>
      <c r="D97" s="7"/>
      <c r="E97" s="7"/>
      <c r="F97" s="7" t="s">
        <v>145</v>
      </c>
      <c r="G97" s="7"/>
      <c r="H97" s="7"/>
      <c r="I97" s="7"/>
      <c r="J97" s="7"/>
      <c r="K97" s="7"/>
      <c r="L97" s="7"/>
      <c r="M97" s="7"/>
      <c r="N97" s="7"/>
      <c r="O97" s="7"/>
      <c r="EA97" s="10"/>
      <c r="EB97" s="10"/>
      <c r="ED97" s="10"/>
      <c r="EE97" s="10"/>
      <c r="EF97" s="10"/>
      <c r="EG97" s="60"/>
      <c r="EH97" s="10"/>
      <c r="EI97" s="10"/>
      <c r="EJ97" s="10"/>
      <c r="EK97" s="10"/>
      <c r="EL97" s="10"/>
      <c r="EM97" s="10"/>
    </row>
    <row r="98" spans="1:143" ht="15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EA98" s="10"/>
      <c r="EB98" s="10"/>
      <c r="ED98" s="10"/>
      <c r="EE98" s="10"/>
      <c r="EF98" s="10"/>
      <c r="EG98" s="60"/>
      <c r="EH98" s="10"/>
      <c r="EI98" s="10"/>
      <c r="EJ98" s="10"/>
      <c r="EK98" s="10"/>
      <c r="EL98" s="10"/>
      <c r="EM98" s="10"/>
    </row>
    <row r="99" spans="1:143" ht="15.75">
      <c r="A99" s="92" t="s">
        <v>18</v>
      </c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EA99" s="10"/>
      <c r="EB99" s="10"/>
      <c r="ED99" s="10"/>
      <c r="EE99" s="10"/>
      <c r="EF99" s="10"/>
      <c r="EG99" s="60"/>
      <c r="EH99" s="10"/>
      <c r="EI99" s="10"/>
      <c r="EJ99" s="10"/>
      <c r="EK99" s="10"/>
      <c r="EL99" s="10"/>
      <c r="EM99" s="10"/>
    </row>
    <row r="100" spans="1:143" ht="15.75">
      <c r="A100" s="92" t="s">
        <v>39</v>
      </c>
      <c r="B100" s="7"/>
      <c r="C100" s="107" t="s">
        <v>146</v>
      </c>
      <c r="D100" s="14"/>
      <c r="E100" s="14"/>
      <c r="F100" s="107" t="s">
        <v>147</v>
      </c>
      <c r="G100" s="14"/>
      <c r="H100" s="14"/>
      <c r="I100" s="14"/>
      <c r="J100" s="14"/>
      <c r="K100" s="7"/>
      <c r="L100" s="7"/>
      <c r="M100" s="7"/>
      <c r="N100" s="7"/>
      <c r="O100" s="7"/>
      <c r="EB100" s="10"/>
      <c r="ED100" s="10"/>
      <c r="EE100" s="30"/>
      <c r="EF100" s="10"/>
      <c r="EG100" s="60"/>
      <c r="EH100" s="10"/>
      <c r="EI100" s="10"/>
      <c r="EJ100" s="10"/>
      <c r="EK100" s="10"/>
      <c r="EL100" s="10"/>
      <c r="EM100" s="10"/>
    </row>
    <row r="101" spans="1:143" ht="15.75">
      <c r="A101" s="14">
        <v>1</v>
      </c>
      <c r="B101" s="7"/>
      <c r="C101" s="105" t="s">
        <v>58</v>
      </c>
      <c r="D101" s="106"/>
      <c r="E101" s="106"/>
      <c r="F101" s="105" t="s">
        <v>58</v>
      </c>
      <c r="G101" s="106"/>
      <c r="H101" s="106"/>
      <c r="I101" s="106"/>
      <c r="J101" s="106"/>
      <c r="K101" s="7"/>
      <c r="L101" s="7"/>
      <c r="M101" s="7"/>
      <c r="N101" s="7"/>
      <c r="O101" s="7"/>
      <c r="EB101" s="10"/>
      <c r="EC101" s="10"/>
      <c r="ED101" s="10"/>
      <c r="EE101" s="30"/>
      <c r="EF101" s="10"/>
      <c r="EG101" s="60"/>
      <c r="EH101" s="10"/>
      <c r="EI101" s="10"/>
      <c r="EJ101" s="10"/>
      <c r="EK101" s="10"/>
      <c r="EL101" s="10"/>
      <c r="EM101" s="10"/>
    </row>
    <row r="102" spans="1:143" ht="15.75">
      <c r="A102" s="14">
        <v>2</v>
      </c>
      <c r="B102" s="7"/>
      <c r="C102" s="106">
        <f>J94</f>
        <v>0.00014135677391005798</v>
      </c>
      <c r="D102" s="106"/>
      <c r="E102" s="106"/>
      <c r="F102" s="108">
        <f aca="true" t="shared" si="76" ref="F102:F110">L63^2+K10*B79*C102</f>
        <v>465340.5691669245</v>
      </c>
      <c r="G102" s="106"/>
      <c r="H102" s="106"/>
      <c r="I102" s="106"/>
      <c r="J102" s="106"/>
      <c r="K102" s="7"/>
      <c r="L102" s="7"/>
      <c r="M102" s="7"/>
      <c r="N102" s="7"/>
      <c r="O102" s="7"/>
      <c r="EB102" s="10"/>
      <c r="EC102" s="10"/>
      <c r="ED102" s="10"/>
      <c r="EE102" s="30"/>
      <c r="EF102" s="10"/>
      <c r="EG102" s="60"/>
      <c r="EH102" s="10"/>
      <c r="EI102" s="10"/>
      <c r="EJ102" s="10"/>
      <c r="EK102" s="10"/>
      <c r="EL102" s="10"/>
      <c r="EM102" s="10"/>
    </row>
    <row r="103" spans="1:143" ht="15.75">
      <c r="A103" s="14">
        <v>3</v>
      </c>
      <c r="B103" s="7"/>
      <c r="C103" s="106">
        <f>SUM(I$94:J$94)</f>
        <v>0.0005797390380909233</v>
      </c>
      <c r="D103" s="106"/>
      <c r="E103" s="106"/>
      <c r="F103" s="108">
        <f t="shared" si="76"/>
        <v>2529638.720805542</v>
      </c>
      <c r="G103" s="106"/>
      <c r="H103" s="106"/>
      <c r="I103" s="106"/>
      <c r="J103" s="106"/>
      <c r="K103" s="7"/>
      <c r="L103" s="7"/>
      <c r="M103" s="7"/>
      <c r="N103" s="7"/>
      <c r="O103" s="7"/>
      <c r="EB103" s="10"/>
      <c r="EC103" s="10"/>
      <c r="ED103" s="10"/>
      <c r="EE103" s="30"/>
      <c r="EF103" s="10"/>
      <c r="EG103" s="60"/>
      <c r="EH103" s="10"/>
      <c r="EI103" s="10"/>
      <c r="EJ103" s="10"/>
      <c r="EK103" s="10"/>
      <c r="EL103" s="10"/>
      <c r="EM103" s="10"/>
    </row>
    <row r="104" spans="1:143" ht="15.75">
      <c r="A104" s="14">
        <v>4</v>
      </c>
      <c r="B104" s="7"/>
      <c r="C104" s="106">
        <f>SUM(H$94:J$94)</f>
        <v>0.0006243856723439587</v>
      </c>
      <c r="D104" s="106"/>
      <c r="E104" s="106"/>
      <c r="F104" s="108">
        <f t="shared" si="76"/>
        <v>2792115.2062884094</v>
      </c>
      <c r="G104" s="106"/>
      <c r="H104" s="106"/>
      <c r="I104" s="106"/>
      <c r="J104" s="106"/>
      <c r="K104" s="7"/>
      <c r="L104" s="7"/>
      <c r="M104" s="7"/>
      <c r="N104" s="7"/>
      <c r="O104" s="7"/>
      <c r="EB104" s="10"/>
      <c r="EC104" s="10"/>
      <c r="ED104" s="10"/>
      <c r="EE104" s="30"/>
      <c r="EF104" s="10"/>
      <c r="EG104" s="60"/>
      <c r="EH104" s="10"/>
      <c r="EI104" s="10"/>
      <c r="EJ104" s="10"/>
      <c r="EK104" s="10"/>
      <c r="EL104" s="10"/>
      <c r="EM104" s="10"/>
    </row>
    <row r="105" spans="1:143" ht="15.75">
      <c r="A105" s="14">
        <v>5</v>
      </c>
      <c r="B105" s="7"/>
      <c r="C105" s="106">
        <f>SUM(G$94:J$94)</f>
        <v>0.0015634877231199132</v>
      </c>
      <c r="D105" s="106"/>
      <c r="E105" s="106"/>
      <c r="F105" s="108">
        <f t="shared" si="76"/>
        <v>6488259.639956211</v>
      </c>
      <c r="G105" s="106"/>
      <c r="H105" s="106"/>
      <c r="I105" s="106"/>
      <c r="J105" s="106"/>
      <c r="K105" s="7"/>
      <c r="L105" s="7"/>
      <c r="M105" s="7"/>
      <c r="N105" s="7"/>
      <c r="O105" s="7"/>
      <c r="EB105" s="10"/>
      <c r="EC105" s="10"/>
      <c r="ED105" s="10"/>
      <c r="EE105" s="30"/>
      <c r="EF105" s="10"/>
      <c r="EG105" s="60"/>
      <c r="EH105" s="10"/>
      <c r="EI105" s="10"/>
      <c r="EJ105" s="10"/>
      <c r="EK105" s="10"/>
      <c r="EL105" s="10"/>
      <c r="EM105" s="10"/>
    </row>
    <row r="106" spans="1:143" ht="16.5" thickBot="1">
      <c r="A106" s="14">
        <v>6</v>
      </c>
      <c r="B106" s="7"/>
      <c r="C106" s="106">
        <f>SUM(F$94:J$94)</f>
        <v>0.003582660483916385</v>
      </c>
      <c r="D106" s="106"/>
      <c r="E106" s="106"/>
      <c r="F106" s="108">
        <f t="shared" si="76"/>
        <v>9332319.937675077</v>
      </c>
      <c r="G106" s="106"/>
      <c r="H106" s="106"/>
      <c r="I106" s="106"/>
      <c r="J106" s="106"/>
      <c r="K106" s="7"/>
      <c r="L106" s="7"/>
      <c r="M106" s="7"/>
      <c r="N106" s="7"/>
      <c r="O106" s="7"/>
      <c r="EB106" s="10"/>
      <c r="EC106" s="10"/>
      <c r="ED106" s="10"/>
      <c r="EE106" s="30"/>
      <c r="EF106" s="10"/>
      <c r="EG106" s="60"/>
      <c r="EH106" s="10"/>
      <c r="EI106" s="10"/>
      <c r="EJ106" s="10"/>
      <c r="EK106" s="10"/>
      <c r="EL106" s="10"/>
      <c r="EM106" s="10"/>
    </row>
    <row r="107" spans="1:148" ht="17.25" thickBot="1" thickTop="1">
      <c r="A107" s="14">
        <v>7</v>
      </c>
      <c r="B107" s="7"/>
      <c r="C107" s="106">
        <f>SUM(E$94:J$94)</f>
        <v>0.004521818905630775</v>
      </c>
      <c r="D107" s="106"/>
      <c r="E107" s="106"/>
      <c r="F107" s="108">
        <f t="shared" si="76"/>
        <v>9573230.732258767</v>
      </c>
      <c r="G107" s="106"/>
      <c r="H107" s="106"/>
      <c r="I107" s="106"/>
      <c r="J107" s="106"/>
      <c r="K107" s="7"/>
      <c r="L107" s="7"/>
      <c r="M107" s="7"/>
      <c r="N107" s="7"/>
      <c r="O107" s="7"/>
      <c r="EB107" s="10"/>
      <c r="EC107" s="10"/>
      <c r="ED107" s="10"/>
      <c r="EE107" s="30"/>
      <c r="EF107" s="10"/>
      <c r="EG107" s="60"/>
      <c r="EH107" s="10"/>
      <c r="EI107" s="20"/>
      <c r="EJ107" s="21"/>
      <c r="EK107" s="22"/>
      <c r="EL107" s="22"/>
      <c r="EM107" s="22"/>
      <c r="EN107" s="28" t="s">
        <v>22</v>
      </c>
      <c r="EO107" s="22"/>
      <c r="EP107" s="22"/>
      <c r="EQ107" s="22"/>
      <c r="ER107" s="23"/>
    </row>
    <row r="108" spans="1:161" ht="17.25" thickBot="1" thickTop="1">
      <c r="A108" s="14">
        <v>8</v>
      </c>
      <c r="B108" s="7"/>
      <c r="C108" s="106">
        <f>SUM(D$94:J$94)</f>
        <v>0.014663160105795079</v>
      </c>
      <c r="D108" s="106"/>
      <c r="E108" s="106"/>
      <c r="F108" s="108">
        <f t="shared" si="76"/>
        <v>40839052.869523734</v>
      </c>
      <c r="G108" s="106"/>
      <c r="H108" s="106"/>
      <c r="I108" s="106"/>
      <c r="J108" s="106"/>
      <c r="K108" s="7"/>
      <c r="L108" s="7"/>
      <c r="M108" s="7"/>
      <c r="N108" s="7"/>
      <c r="O108" s="7"/>
      <c r="EB108" s="10"/>
      <c r="EC108" s="10"/>
      <c r="ED108" s="10"/>
      <c r="EE108" s="30"/>
      <c r="EF108" s="10"/>
      <c r="EG108" s="60"/>
      <c r="EH108" s="10"/>
      <c r="EI108" s="40" t="s">
        <v>21</v>
      </c>
      <c r="EJ108" s="41">
        <v>1</v>
      </c>
      <c r="EK108" s="41">
        <v>2</v>
      </c>
      <c r="EL108" s="41">
        <v>3</v>
      </c>
      <c r="EM108" s="41">
        <v>4</v>
      </c>
      <c r="EN108" s="41">
        <v>5</v>
      </c>
      <c r="EO108" s="41">
        <v>6</v>
      </c>
      <c r="EP108" s="41">
        <v>7</v>
      </c>
      <c r="EQ108" s="41">
        <v>8</v>
      </c>
      <c r="ER108" s="42">
        <v>9</v>
      </c>
      <c r="EU108" s="79" t="s">
        <v>79</v>
      </c>
      <c r="EV108" s="80" t="s">
        <v>80</v>
      </c>
      <c r="EW108" s="81"/>
      <c r="EX108" s="80" t="s">
        <v>81</v>
      </c>
      <c r="EY108" s="81"/>
      <c r="EZ108" s="80" t="s">
        <v>82</v>
      </c>
      <c r="FA108" s="81"/>
      <c r="FB108" s="82" t="s">
        <v>57</v>
      </c>
      <c r="FC108" s="82" t="s">
        <v>37</v>
      </c>
      <c r="FD108" s="83" t="s">
        <v>83</v>
      </c>
      <c r="FE108" s="84" t="s">
        <v>84</v>
      </c>
    </row>
    <row r="109" spans="1:161" ht="16.5" thickTop="1">
      <c r="A109" s="14">
        <v>9</v>
      </c>
      <c r="B109" s="7"/>
      <c r="C109" s="106">
        <f>SUM(C$94:J$94)</f>
        <v>0.028663667189279797</v>
      </c>
      <c r="D109" s="106"/>
      <c r="E109" s="106"/>
      <c r="F109" s="108">
        <f t="shared" si="76"/>
        <v>48572421.97324622</v>
      </c>
      <c r="G109" s="106"/>
      <c r="H109" s="106"/>
      <c r="I109" s="106"/>
      <c r="J109" s="106"/>
      <c r="K109" s="7"/>
      <c r="L109" s="7"/>
      <c r="M109" s="7"/>
      <c r="N109" s="7"/>
      <c r="O109" s="7"/>
      <c r="EG109" s="60"/>
      <c r="EI109" s="58">
        <v>1922</v>
      </c>
      <c r="EJ109" s="52" t="s">
        <v>14</v>
      </c>
      <c r="EK109" s="52" t="s">
        <v>13</v>
      </c>
      <c r="EL109" s="52" t="s">
        <v>64</v>
      </c>
      <c r="EM109" s="52" t="s">
        <v>14</v>
      </c>
      <c r="EN109" s="52" t="s">
        <v>14</v>
      </c>
      <c r="EO109" s="52" t="s">
        <v>14</v>
      </c>
      <c r="EP109" s="52" t="s">
        <v>14</v>
      </c>
      <c r="EQ109" s="52" t="s">
        <v>14</v>
      </c>
      <c r="ER109" s="57" t="s">
        <v>64</v>
      </c>
      <c r="EU109" s="51">
        <v>2</v>
      </c>
      <c r="EV109" s="85">
        <v>1</v>
      </c>
      <c r="EW109" s="109"/>
      <c r="EX109" s="85">
        <v>1</v>
      </c>
      <c r="EY109" s="109"/>
      <c r="EZ109" s="85">
        <v>1</v>
      </c>
      <c r="FA109" s="109"/>
      <c r="FB109" s="54">
        <v>2</v>
      </c>
      <c r="FC109" s="54">
        <v>0.5</v>
      </c>
      <c r="FD109" s="55">
        <v>0.5</v>
      </c>
      <c r="FE109" s="56">
        <v>0.25</v>
      </c>
    </row>
    <row r="110" spans="1:161" ht="15.75">
      <c r="A110" s="14">
        <v>10</v>
      </c>
      <c r="B110" s="7"/>
      <c r="C110" s="106">
        <f>SUM(B$94:J$94)</f>
        <v>0.3126427290869205</v>
      </c>
      <c r="D110" s="106"/>
      <c r="E110" s="106"/>
      <c r="F110" s="110">
        <f t="shared" si="76"/>
        <v>603502501.7256341</v>
      </c>
      <c r="G110" s="106"/>
      <c r="H110" s="106"/>
      <c r="I110" s="106"/>
      <c r="J110" s="106"/>
      <c r="K110" s="7"/>
      <c r="L110" s="7"/>
      <c r="M110" s="7"/>
      <c r="N110" s="7"/>
      <c r="O110" s="7"/>
      <c r="EG110" s="60"/>
      <c r="EI110" s="58">
        <f aca="true" t="shared" si="77" ref="EI110:EI117">EI109+1</f>
        <v>1923</v>
      </c>
      <c r="EJ110" s="52" t="s">
        <v>14</v>
      </c>
      <c r="EK110" s="52" t="s">
        <v>13</v>
      </c>
      <c r="EL110" s="52" t="s">
        <v>13</v>
      </c>
      <c r="EM110" s="52" t="s">
        <v>14</v>
      </c>
      <c r="EN110" s="52" t="s">
        <v>64</v>
      </c>
      <c r="EO110" s="52" t="s">
        <v>14</v>
      </c>
      <c r="EP110" s="52" t="s">
        <v>13</v>
      </c>
      <c r="EQ110" s="52" t="s">
        <v>13</v>
      </c>
      <c r="ER110" s="111"/>
      <c r="EU110" s="51">
        <v>3</v>
      </c>
      <c r="EV110" s="85">
        <v>1</v>
      </c>
      <c r="EW110" s="109"/>
      <c r="EX110" s="85">
        <v>1</v>
      </c>
      <c r="EY110" s="109"/>
      <c r="EZ110" s="85">
        <v>1</v>
      </c>
      <c r="FA110" s="109"/>
      <c r="FB110" s="54">
        <v>2</v>
      </c>
      <c r="FC110" s="54">
        <v>0.5</v>
      </c>
      <c r="FD110" s="55">
        <v>0.5</v>
      </c>
      <c r="FE110" s="56">
        <v>0.25</v>
      </c>
    </row>
    <row r="111" spans="1:161" ht="15.75">
      <c r="A111" s="7"/>
      <c r="B111" s="7"/>
      <c r="C111" s="7"/>
      <c r="D111" s="7"/>
      <c r="E111" s="7" t="s">
        <v>148</v>
      </c>
      <c r="F111" s="108">
        <f>SUM(F102:F110)</f>
        <v>724094881.374555</v>
      </c>
      <c r="G111" s="7"/>
      <c r="H111" s="7" t="s">
        <v>149</v>
      </c>
      <c r="I111" s="7"/>
      <c r="J111" s="7"/>
      <c r="K111" s="7"/>
      <c r="L111" s="7"/>
      <c r="M111" s="7"/>
      <c r="N111" s="7"/>
      <c r="O111" s="7"/>
      <c r="EG111" s="60"/>
      <c r="EI111" s="58">
        <f t="shared" si="77"/>
        <v>1924</v>
      </c>
      <c r="EJ111" s="52" t="s">
        <v>14</v>
      </c>
      <c r="EK111" s="52" t="s">
        <v>13</v>
      </c>
      <c r="EL111" s="52" t="s">
        <v>13</v>
      </c>
      <c r="EM111" s="52" t="s">
        <v>13</v>
      </c>
      <c r="EN111" s="52" t="s">
        <v>13</v>
      </c>
      <c r="EO111" s="52" t="s">
        <v>13</v>
      </c>
      <c r="EP111" s="52" t="s">
        <v>64</v>
      </c>
      <c r="EQ111" s="54"/>
      <c r="ER111" s="111"/>
      <c r="EU111" s="51">
        <v>4</v>
      </c>
      <c r="EV111" s="85">
        <v>2</v>
      </c>
      <c r="EW111" s="109"/>
      <c r="EX111" s="85">
        <v>2</v>
      </c>
      <c r="EY111" s="109"/>
      <c r="EZ111" s="85">
        <v>2</v>
      </c>
      <c r="FA111" s="109"/>
      <c r="FB111" s="54">
        <v>4</v>
      </c>
      <c r="FC111" s="54">
        <v>1.5</v>
      </c>
      <c r="FD111" s="55">
        <v>1.25</v>
      </c>
      <c r="FE111" s="56">
        <v>0.4375</v>
      </c>
    </row>
    <row r="112" spans="1:161" ht="15.75">
      <c r="A112" s="7"/>
      <c r="B112" s="7"/>
      <c r="C112" s="7"/>
      <c r="D112" s="7"/>
      <c r="E112" s="7" t="s">
        <v>150</v>
      </c>
      <c r="F112" s="108">
        <f>F111^0.5</f>
        <v>26909.01115564366</v>
      </c>
      <c r="G112" s="7"/>
      <c r="H112" s="7" t="s">
        <v>151</v>
      </c>
      <c r="I112" s="7"/>
      <c r="J112" s="7"/>
      <c r="K112" s="7"/>
      <c r="L112" s="7"/>
      <c r="M112" s="7"/>
      <c r="N112" s="7"/>
      <c r="O112" s="7"/>
      <c r="EG112" s="60"/>
      <c r="EI112" s="58">
        <f t="shared" si="77"/>
        <v>1925</v>
      </c>
      <c r="EJ112" s="52" t="s">
        <v>14</v>
      </c>
      <c r="EK112" s="52" t="s">
        <v>14</v>
      </c>
      <c r="EL112" s="52" t="s">
        <v>13</v>
      </c>
      <c r="EM112" s="52" t="s">
        <v>13</v>
      </c>
      <c r="EN112" s="52" t="s">
        <v>14</v>
      </c>
      <c r="EO112" s="52" t="s">
        <v>13</v>
      </c>
      <c r="EP112" s="54"/>
      <c r="EQ112" s="54"/>
      <c r="ER112" s="111"/>
      <c r="EU112" s="51">
        <v>5</v>
      </c>
      <c r="EV112" s="85">
        <v>1</v>
      </c>
      <c r="EW112" s="109"/>
      <c r="EX112" s="85">
        <v>3</v>
      </c>
      <c r="EY112" s="109"/>
      <c r="EZ112" s="85">
        <v>1</v>
      </c>
      <c r="FA112" s="109"/>
      <c r="FB112" s="54">
        <v>4</v>
      </c>
      <c r="FC112" s="54">
        <v>1.5</v>
      </c>
      <c r="FD112" s="55">
        <v>1.25</v>
      </c>
      <c r="FE112" s="56">
        <v>0.4375</v>
      </c>
    </row>
    <row r="113" spans="1:161" ht="15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EG113" s="60"/>
      <c r="EI113" s="58">
        <f t="shared" si="77"/>
        <v>1926</v>
      </c>
      <c r="EJ113" s="52" t="s">
        <v>64</v>
      </c>
      <c r="EK113" s="52" t="s">
        <v>13</v>
      </c>
      <c r="EL113" s="52" t="s">
        <v>14</v>
      </c>
      <c r="EM113" s="52" t="s">
        <v>14</v>
      </c>
      <c r="EN113" s="52" t="s">
        <v>13</v>
      </c>
      <c r="EO113" s="54"/>
      <c r="EP113" s="54"/>
      <c r="EQ113" s="54"/>
      <c r="ER113" s="111"/>
      <c r="EU113" s="51">
        <v>6</v>
      </c>
      <c r="EV113" s="85">
        <v>4</v>
      </c>
      <c r="EW113" s="109"/>
      <c r="EX113" s="85">
        <v>1</v>
      </c>
      <c r="EY113" s="109"/>
      <c r="EZ113" s="85">
        <v>1</v>
      </c>
      <c r="FA113" s="109"/>
      <c r="FB113" s="54">
        <v>5</v>
      </c>
      <c r="FC113" s="54">
        <v>2</v>
      </c>
      <c r="FD113" s="55">
        <v>1.5625</v>
      </c>
      <c r="FE113" s="56">
        <v>0.37109375</v>
      </c>
    </row>
    <row r="114" spans="1:161" ht="15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EG114" s="60"/>
      <c r="EI114" s="58">
        <f t="shared" si="77"/>
        <v>1927</v>
      </c>
      <c r="EJ114" s="52" t="s">
        <v>13</v>
      </c>
      <c r="EK114" s="52" t="s">
        <v>14</v>
      </c>
      <c r="EL114" s="52" t="s">
        <v>14</v>
      </c>
      <c r="EM114" s="52" t="s">
        <v>13</v>
      </c>
      <c r="EN114" s="54"/>
      <c r="EO114" s="54"/>
      <c r="EP114" s="54"/>
      <c r="EQ114" s="54"/>
      <c r="ER114" s="111"/>
      <c r="EU114" s="51">
        <v>7</v>
      </c>
      <c r="EV114" s="85">
        <v>3</v>
      </c>
      <c r="EW114" s="109"/>
      <c r="EX114" s="85">
        <v>4</v>
      </c>
      <c r="EY114" s="109"/>
      <c r="EZ114" s="85">
        <v>3</v>
      </c>
      <c r="FA114" s="109"/>
      <c r="FB114" s="54">
        <v>7</v>
      </c>
      <c r="FC114" s="54">
        <v>3</v>
      </c>
      <c r="FD114" s="55">
        <v>2.40625</v>
      </c>
      <c r="FE114" s="56">
        <v>0.5537109375</v>
      </c>
    </row>
    <row r="115" spans="1:161" ht="15.75">
      <c r="A115" s="14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EG115" s="60"/>
      <c r="EI115" s="58">
        <f t="shared" si="77"/>
        <v>1928</v>
      </c>
      <c r="EJ115" s="52" t="s">
        <v>13</v>
      </c>
      <c r="EK115" s="52" t="s">
        <v>14</v>
      </c>
      <c r="EL115" s="52" t="s">
        <v>14</v>
      </c>
      <c r="EM115" s="54"/>
      <c r="EN115" s="54"/>
      <c r="EO115" s="54"/>
      <c r="EP115" s="54"/>
      <c r="EQ115" s="54"/>
      <c r="ER115" s="111"/>
      <c r="EU115" s="51">
        <v>8</v>
      </c>
      <c r="EV115" s="85">
        <v>3</v>
      </c>
      <c r="EW115" s="109"/>
      <c r="EX115" s="85">
        <v>5</v>
      </c>
      <c r="EY115" s="109"/>
      <c r="EZ115" s="90">
        <v>3</v>
      </c>
      <c r="FA115" s="91"/>
      <c r="FB115" s="54">
        <v>8</v>
      </c>
      <c r="FC115" s="54">
        <v>3.5</v>
      </c>
      <c r="FD115" s="55">
        <v>2.90625</v>
      </c>
      <c r="FE115" s="56">
        <v>0.8037109375</v>
      </c>
    </row>
    <row r="116" spans="1:161" ht="16.5" thickBo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7"/>
      <c r="L116" s="7"/>
      <c r="M116" s="7"/>
      <c r="N116" s="7"/>
      <c r="O116" s="7"/>
      <c r="EG116" s="60"/>
      <c r="EI116" s="58">
        <f t="shared" si="77"/>
        <v>1929</v>
      </c>
      <c r="EJ116" s="52" t="s">
        <v>13</v>
      </c>
      <c r="EK116" s="52" t="s">
        <v>14</v>
      </c>
      <c r="EL116" s="54"/>
      <c r="EM116" s="54"/>
      <c r="EN116" s="54"/>
      <c r="EO116" s="54"/>
      <c r="EP116" s="54"/>
      <c r="EQ116" s="54"/>
      <c r="ER116" s="111"/>
      <c r="ET116" s="10"/>
      <c r="EU116" s="66">
        <v>9</v>
      </c>
      <c r="EV116" s="93">
        <v>5</v>
      </c>
      <c r="EW116" s="94"/>
      <c r="EX116" s="93">
        <v>2</v>
      </c>
      <c r="EY116" s="94"/>
      <c r="EZ116" s="93">
        <v>2</v>
      </c>
      <c r="FA116" s="94"/>
      <c r="FB116" s="69">
        <v>7</v>
      </c>
      <c r="FC116" s="69">
        <v>3</v>
      </c>
      <c r="FD116" s="70">
        <v>2.40625</v>
      </c>
      <c r="FE116" s="95">
        <v>0.5537109375</v>
      </c>
    </row>
    <row r="117" spans="1:161" ht="17.25" thickBot="1" thickTop="1">
      <c r="A117" s="14"/>
      <c r="B117" s="7"/>
      <c r="C117" s="106"/>
      <c r="D117" s="106"/>
      <c r="E117" s="106"/>
      <c r="F117" s="106"/>
      <c r="G117" s="106"/>
      <c r="H117" s="106"/>
      <c r="I117" s="106"/>
      <c r="J117" s="106"/>
      <c r="K117" s="7"/>
      <c r="L117" s="7"/>
      <c r="M117" s="7"/>
      <c r="N117" s="7"/>
      <c r="O117" s="7"/>
      <c r="EG117" s="60"/>
      <c r="EI117" s="72">
        <f t="shared" si="77"/>
        <v>1930</v>
      </c>
      <c r="EJ117" s="67" t="s">
        <v>13</v>
      </c>
      <c r="EK117" s="69"/>
      <c r="EL117" s="69"/>
      <c r="EM117" s="69"/>
      <c r="EN117" s="69"/>
      <c r="EO117" s="69"/>
      <c r="EP117" s="69"/>
      <c r="EQ117" s="69"/>
      <c r="ER117" s="112"/>
      <c r="EU117" s="10"/>
      <c r="EV117" s="10"/>
      <c r="EW117" s="10"/>
      <c r="EX117" s="10"/>
      <c r="EY117" s="10"/>
      <c r="FA117" s="10"/>
      <c r="FB117" s="10"/>
      <c r="FC117" s="10"/>
      <c r="FD117" s="30">
        <v>12.78125</v>
      </c>
      <c r="FE117" s="10">
        <v>3.6572265625</v>
      </c>
    </row>
    <row r="118" spans="1:137" ht="16.5" thickTop="1">
      <c r="A118" s="14"/>
      <c r="B118" s="7"/>
      <c r="C118" s="106"/>
      <c r="D118" s="106"/>
      <c r="E118" s="106"/>
      <c r="F118" s="106"/>
      <c r="G118" s="106"/>
      <c r="H118" s="106"/>
      <c r="I118" s="106"/>
      <c r="J118" s="106"/>
      <c r="K118" s="7"/>
      <c r="L118" s="7"/>
      <c r="M118" s="7"/>
      <c r="N118" s="7"/>
      <c r="O118" s="7"/>
      <c r="EG118" s="60"/>
    </row>
    <row r="119" spans="1:137" ht="15.75">
      <c r="A119" s="14"/>
      <c r="B119" s="7"/>
      <c r="C119" s="106"/>
      <c r="D119" s="106"/>
      <c r="E119" s="106"/>
      <c r="F119" s="106"/>
      <c r="G119" s="106"/>
      <c r="H119" s="106"/>
      <c r="I119" s="106"/>
      <c r="J119" s="106"/>
      <c r="K119" s="7"/>
      <c r="L119" s="7"/>
      <c r="M119" s="7"/>
      <c r="N119" s="7"/>
      <c r="O119" s="7"/>
      <c r="EG119" s="60"/>
    </row>
    <row r="120" spans="1:137" ht="15.75">
      <c r="A120" s="14"/>
      <c r="B120" s="7"/>
      <c r="C120" s="106"/>
      <c r="D120" s="106"/>
      <c r="E120" s="106"/>
      <c r="F120" s="106"/>
      <c r="G120" s="106"/>
      <c r="H120" s="106"/>
      <c r="I120" s="106"/>
      <c r="J120" s="106"/>
      <c r="K120" s="7"/>
      <c r="L120" s="7"/>
      <c r="M120" s="7"/>
      <c r="N120" s="7"/>
      <c r="O120" s="7"/>
      <c r="EG120" s="60"/>
    </row>
    <row r="121" spans="1:137" ht="15.75">
      <c r="A121" s="14"/>
      <c r="B121" s="7"/>
      <c r="C121" s="106"/>
      <c r="D121" s="106"/>
      <c r="E121" s="106"/>
      <c r="F121" s="106"/>
      <c r="G121" s="106"/>
      <c r="H121" s="106"/>
      <c r="I121" s="106"/>
      <c r="J121" s="106"/>
      <c r="K121" s="7"/>
      <c r="L121" s="7"/>
      <c r="M121" s="7"/>
      <c r="N121" s="7"/>
      <c r="O121" s="7"/>
      <c r="EG121" s="60"/>
    </row>
    <row r="122" spans="1:137" ht="15.75">
      <c r="A122" s="14"/>
      <c r="B122" s="7"/>
      <c r="C122" s="106"/>
      <c r="D122" s="106"/>
      <c r="E122" s="106"/>
      <c r="F122" s="106"/>
      <c r="G122" s="106"/>
      <c r="H122" s="106"/>
      <c r="I122" s="106"/>
      <c r="J122" s="106"/>
      <c r="K122" s="7"/>
      <c r="L122" s="7"/>
      <c r="M122" s="7"/>
      <c r="N122" s="7"/>
      <c r="O122" s="7"/>
      <c r="EG122" s="60"/>
    </row>
    <row r="123" spans="1:137" ht="15.75">
      <c r="A123" s="14"/>
      <c r="B123" s="7"/>
      <c r="C123" s="106"/>
      <c r="D123" s="106"/>
      <c r="E123" s="106"/>
      <c r="F123" s="106"/>
      <c r="G123" s="106"/>
      <c r="H123" s="106"/>
      <c r="I123" s="106"/>
      <c r="J123" s="106"/>
      <c r="K123" s="7"/>
      <c r="L123" s="7"/>
      <c r="M123" s="7"/>
      <c r="N123" s="7"/>
      <c r="O123" s="7"/>
      <c r="EG123" s="60"/>
    </row>
    <row r="124" spans="1:137" ht="15.75">
      <c r="A124" s="14"/>
      <c r="B124" s="7"/>
      <c r="C124" s="106"/>
      <c r="D124" s="106"/>
      <c r="E124" s="106"/>
      <c r="F124" s="106"/>
      <c r="G124" s="106"/>
      <c r="H124" s="106"/>
      <c r="I124" s="106"/>
      <c r="J124" s="106"/>
      <c r="K124" s="7"/>
      <c r="L124" s="7"/>
      <c r="M124" s="7"/>
      <c r="N124" s="7"/>
      <c r="O124" s="7"/>
      <c r="EG124" s="60"/>
    </row>
    <row r="125" spans="1:137" ht="15.75">
      <c r="A125" s="14"/>
      <c r="B125" s="7"/>
      <c r="C125" s="106"/>
      <c r="D125" s="106"/>
      <c r="E125" s="106"/>
      <c r="F125" s="106"/>
      <c r="G125" s="106"/>
      <c r="H125" s="106"/>
      <c r="I125" s="106"/>
      <c r="J125" s="106"/>
      <c r="K125" s="7"/>
      <c r="L125" s="7"/>
      <c r="M125" s="7"/>
      <c r="N125" s="7"/>
      <c r="O125" s="7"/>
      <c r="EG125" s="60"/>
    </row>
    <row r="126" spans="1:137" ht="15.75">
      <c r="A126" s="14"/>
      <c r="B126" s="7"/>
      <c r="C126" s="106"/>
      <c r="D126" s="106"/>
      <c r="E126" s="106"/>
      <c r="F126" s="106"/>
      <c r="G126" s="106"/>
      <c r="H126" s="106"/>
      <c r="I126" s="106"/>
      <c r="J126" s="106"/>
      <c r="K126" s="7"/>
      <c r="L126" s="7"/>
      <c r="M126" s="7"/>
      <c r="N126" s="7"/>
      <c r="O126" s="7"/>
      <c r="EG126" s="60"/>
    </row>
    <row r="127" spans="1:137" ht="15.75">
      <c r="A127" s="7"/>
      <c r="B127" s="113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EG127" s="60"/>
    </row>
    <row r="128" spans="1:137" ht="15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EG128" s="60"/>
    </row>
    <row r="129" spans="1:15" ht="15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</row>
    <row r="130" spans="1:15" ht="15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</row>
    <row r="131" spans="1:15" ht="15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</row>
    <row r="132" spans="1:15" ht="15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</row>
    <row r="133" spans="1:15" ht="15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</row>
    <row r="134" spans="1:15" ht="15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</row>
    <row r="135" spans="1:15" ht="15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</row>
    <row r="136" spans="1:15" ht="15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</row>
    <row r="177" spans="105:117" ht="12.75"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</row>
    <row r="178" spans="105:117" ht="12.75"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</row>
    <row r="179" spans="105:117" ht="12.75"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</row>
    <row r="180" spans="105:117" ht="12.75"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</row>
    <row r="181" spans="105:117" ht="12.75"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</row>
    <row r="182" spans="105:117" ht="12.75"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</row>
    <row r="183" spans="105:117" ht="12.75"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</row>
    <row r="184" spans="105:117" ht="12.75"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</row>
    <row r="185" spans="105:117" ht="12.75"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</row>
    <row r="186" spans="105:117" ht="12.75"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</row>
    <row r="187" spans="105:117" ht="12.75"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</row>
    <row r="188" spans="105:117" ht="12.75"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</row>
    <row r="189" spans="105:117" ht="12.75"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</row>
    <row r="190" spans="105:117" ht="12.75"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</row>
    <row r="191" spans="105:117" ht="12.75"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</row>
    <row r="192" spans="105:117" ht="12.75"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</row>
    <row r="193" spans="105:117" ht="12.75"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</row>
    <row r="200" ht="12.75">
      <c r="A200" t="s">
        <v>152</v>
      </c>
    </row>
    <row r="202" ht="12.75">
      <c r="A202" t="e">
        <f ca="1">"Ref: JAL c:\data\workshop\giveout.wk3                                                         "&amp;FIXED(DAY(NOW()),0,TRUE)&amp;"-"&amp;VLOOKUP(MONTH(NOW()),[1]!DATE_TABLE,2)&amp;"-"&amp;FIXED((YEAR(NOW())-1900),0,TRUE)&amp;"  "&amp;FIXED(HOUR(NOW()),0,TRUE)&amp;":"&amp;IF(MINUTE(NOW())&lt;10,"0","")&amp;FIXED(MINUTE(NOW()),0,TRUE)</f>
        <v>#VALUE!</v>
      </c>
    </row>
    <row r="204" spans="1:3" ht="12.75">
      <c r="A204" t="s">
        <v>153</v>
      </c>
      <c r="B204" t="s">
        <v>154</v>
      </c>
      <c r="C204" t="s">
        <v>155</v>
      </c>
    </row>
    <row r="205" ht="12.75">
      <c r="C205" t="s">
        <v>156</v>
      </c>
    </row>
    <row r="206" ht="12.75">
      <c r="C206" t="s">
        <v>157</v>
      </c>
    </row>
    <row r="207" ht="12.75">
      <c r="C207" t="s">
        <v>158</v>
      </c>
    </row>
    <row r="218" spans="2:3" ht="12.75">
      <c r="B218" t="s">
        <v>159</v>
      </c>
      <c r="C218">
        <v>10</v>
      </c>
    </row>
    <row r="220" spans="1:6" ht="12.75">
      <c r="A220" t="s">
        <v>160</v>
      </c>
      <c r="B220" t="s">
        <v>161</v>
      </c>
      <c r="C220" t="s">
        <v>162</v>
      </c>
      <c r="D220" s="10"/>
      <c r="E220" s="10"/>
      <c r="F220" s="10"/>
    </row>
    <row r="221" spans="4:6" ht="12.75">
      <c r="D221" s="10"/>
      <c r="E221" s="10"/>
      <c r="F221" s="10"/>
    </row>
    <row r="222" spans="2:6" ht="12.75">
      <c r="B222" t="s">
        <v>163</v>
      </c>
      <c r="C222" t="s">
        <v>164</v>
      </c>
      <c r="D222" s="10"/>
      <c r="E222" s="10"/>
      <c r="F222" s="10"/>
    </row>
    <row r="223" spans="3:6" ht="12.75">
      <c r="C223" t="s">
        <v>165</v>
      </c>
      <c r="D223" s="10"/>
      <c r="E223" s="10"/>
      <c r="F223" t="str">
        <f>"/reerase_bit~/rvF("&amp;FIXED(C218,0,TRUE)&amp;")~copy_to~"</f>
        <v>/reerase_bit~/rvF(10)~copy_to~</v>
      </c>
    </row>
    <row r="224" spans="3:5" ht="12.75">
      <c r="C224" t="s">
        <v>166</v>
      </c>
      <c r="D224" s="10"/>
      <c r="E224" s="10"/>
    </row>
    <row r="225" spans="3:6" ht="12.75">
      <c r="C225" s="10" t="s">
        <v>167</v>
      </c>
      <c r="D225" s="10"/>
      <c r="E225" s="10"/>
      <c r="F225" s="10" t="str">
        <f>"/ccopyfrom~O("&amp;FIXED(C218,0,TRUE)&amp;")~/rvO("&amp;FIXED(C218,0,TRUE)&amp;")~O("&amp;FIXED(C218,0,TRUE)&amp;")~"</f>
        <v>/ccopyfrom~O(10)~/rvO(10)~O(10)~</v>
      </c>
    </row>
    <row r="227" spans="1:3" ht="12.75">
      <c r="A227" t="s">
        <v>168</v>
      </c>
      <c r="B227" t="s">
        <v>169</v>
      </c>
      <c r="C227" t="s">
        <v>170</v>
      </c>
    </row>
    <row r="255" spans="1:6" ht="15.75">
      <c r="A255" s="9" t="s">
        <v>0</v>
      </c>
      <c r="B255" s="7"/>
      <c r="C255" s="7"/>
      <c r="D255" s="7"/>
      <c r="E255" s="7"/>
      <c r="F255" s="7"/>
    </row>
    <row r="256" spans="1:6" ht="15.75">
      <c r="A256" s="114" t="s">
        <v>171</v>
      </c>
      <c r="B256" s="7"/>
      <c r="C256" s="7"/>
      <c r="D256" s="7"/>
      <c r="E256" s="7"/>
      <c r="F256" s="7"/>
    </row>
    <row r="257" spans="1:6" ht="15.75">
      <c r="A257" s="7"/>
      <c r="B257" s="7"/>
      <c r="C257" s="7"/>
      <c r="D257" s="7"/>
      <c r="E257" s="7"/>
      <c r="F257" s="7"/>
    </row>
    <row r="258" spans="1:6" ht="15.75">
      <c r="A258" s="7" t="s">
        <v>172</v>
      </c>
      <c r="B258" s="7"/>
      <c r="C258" s="7"/>
      <c r="D258" s="7"/>
      <c r="E258" s="7"/>
      <c r="F258" s="7"/>
    </row>
    <row r="259" spans="1:6" ht="15.75">
      <c r="A259" s="7" t="s">
        <v>173</v>
      </c>
      <c r="B259" s="7"/>
      <c r="C259" s="7"/>
      <c r="D259" s="7"/>
      <c r="E259" s="7"/>
      <c r="F259" s="7"/>
    </row>
    <row r="260" spans="1:6" ht="15.75">
      <c r="A260" s="7" t="s">
        <v>174</v>
      </c>
      <c r="B260" s="7"/>
      <c r="C260" s="7"/>
      <c r="D260" s="7"/>
      <c r="E260" s="7"/>
      <c r="F260" s="7"/>
    </row>
    <row r="261" spans="1:6" ht="15.75">
      <c r="A261" s="7"/>
      <c r="B261" s="7"/>
      <c r="C261" s="7"/>
      <c r="D261" s="7"/>
      <c r="E261" s="7"/>
      <c r="F261" s="7"/>
    </row>
    <row r="262" spans="1:6" ht="15.75">
      <c r="A262" s="115" t="s">
        <v>175</v>
      </c>
      <c r="B262" s="7"/>
      <c r="C262" s="7"/>
      <c r="D262" s="7"/>
      <c r="E262" s="7"/>
      <c r="F262" s="7"/>
    </row>
    <row r="263" spans="1:6" ht="15.75">
      <c r="A263" s="115" t="s">
        <v>176</v>
      </c>
      <c r="B263" s="7"/>
      <c r="C263" s="7"/>
      <c r="D263" s="7"/>
      <c r="E263" s="7"/>
      <c r="F263" s="7"/>
    </row>
    <row r="264" spans="1:6" ht="15.75">
      <c r="A264" s="115" t="s">
        <v>177</v>
      </c>
      <c r="B264" s="7"/>
      <c r="C264" s="7"/>
      <c r="D264" s="7"/>
      <c r="E264" s="7"/>
      <c r="F264" s="7"/>
    </row>
    <row r="265" spans="1:6" ht="15.75">
      <c r="A265" s="115" t="s">
        <v>178</v>
      </c>
      <c r="B265" s="7"/>
      <c r="C265" s="7"/>
      <c r="D265" s="7"/>
      <c r="E265" s="7"/>
      <c r="F265" s="7"/>
    </row>
    <row r="266" spans="1:6" ht="15.75">
      <c r="A266" s="115" t="s">
        <v>179</v>
      </c>
      <c r="B266" s="7"/>
      <c r="C266" s="7"/>
      <c r="D266" s="7"/>
      <c r="E266" s="7"/>
      <c r="F266" s="7"/>
    </row>
    <row r="267" spans="1:6" ht="15.75">
      <c r="A267" s="115" t="s">
        <v>180</v>
      </c>
      <c r="B267" s="7"/>
      <c r="C267" s="7"/>
      <c r="D267" s="7"/>
      <c r="E267" s="7"/>
      <c r="F267" s="7"/>
    </row>
    <row r="268" spans="1:6" ht="15.75">
      <c r="A268" s="7"/>
      <c r="B268" s="7"/>
      <c r="C268" s="7"/>
      <c r="D268" s="7"/>
      <c r="E268" s="7"/>
      <c r="F268" s="7"/>
    </row>
    <row r="269" spans="1:6" ht="15.75">
      <c r="A269" s="115" t="s">
        <v>181</v>
      </c>
      <c r="B269" s="7"/>
      <c r="C269" s="7"/>
      <c r="D269" s="7"/>
      <c r="E269" s="7"/>
      <c r="F269" s="7"/>
    </row>
    <row r="270" spans="1:6" ht="15.75">
      <c r="A270" s="115" t="s">
        <v>182</v>
      </c>
      <c r="B270" s="7"/>
      <c r="C270" s="7"/>
      <c r="D270" s="7"/>
      <c r="E270" s="7"/>
      <c r="F270" s="7"/>
    </row>
    <row r="271" spans="1:6" ht="15.75">
      <c r="A271" s="115" t="s">
        <v>183</v>
      </c>
      <c r="B271" s="7"/>
      <c r="C271" s="7"/>
      <c r="D271" s="7"/>
      <c r="E271" s="7"/>
      <c r="F271" s="7"/>
    </row>
    <row r="272" spans="1:6" ht="15.75">
      <c r="A272" s="7"/>
      <c r="B272" s="7"/>
      <c r="C272" s="7"/>
      <c r="D272" s="7"/>
      <c r="E272" s="7"/>
      <c r="F272" s="7"/>
    </row>
    <row r="273" spans="1:6" ht="15.75">
      <c r="A273" s="7" t="s">
        <v>184</v>
      </c>
      <c r="B273" s="7"/>
      <c r="C273" s="7"/>
      <c r="D273" s="7"/>
      <c r="F273" s="7"/>
    </row>
    <row r="274" spans="1:6" ht="15.75">
      <c r="A274" s="7"/>
      <c r="B274" s="7"/>
      <c r="C274" s="7"/>
      <c r="D274" s="7"/>
      <c r="F274" s="7"/>
    </row>
    <row r="275" spans="1:6" ht="15.75">
      <c r="A275" s="7" t="s">
        <v>185</v>
      </c>
      <c r="B275" s="7"/>
      <c r="C275" s="7"/>
      <c r="D275" s="7"/>
      <c r="E275" s="7" t="s">
        <v>186</v>
      </c>
      <c r="F275" s="7"/>
    </row>
    <row r="276" spans="1:6" ht="15.75">
      <c r="A276" s="7" t="s">
        <v>187</v>
      </c>
      <c r="B276" s="7"/>
      <c r="C276" s="7"/>
      <c r="D276" s="7"/>
      <c r="E276" s="7" t="s">
        <v>188</v>
      </c>
      <c r="F276" s="7"/>
    </row>
    <row r="277" spans="1:6" ht="15.75">
      <c r="A277" s="7" t="s">
        <v>189</v>
      </c>
      <c r="B277" s="7"/>
      <c r="C277" s="7"/>
      <c r="D277" s="7"/>
      <c r="E277" s="7" t="s">
        <v>190</v>
      </c>
      <c r="F277" s="7"/>
    </row>
    <row r="278" spans="1:6" ht="15.75">
      <c r="A278" s="7" t="s">
        <v>189</v>
      </c>
      <c r="B278" s="7"/>
      <c r="C278" s="7"/>
      <c r="D278" s="7"/>
      <c r="E278" s="7" t="s">
        <v>191</v>
      </c>
      <c r="F278" s="7"/>
    </row>
    <row r="279" spans="1:6" ht="15.75">
      <c r="A279" s="7" t="s">
        <v>192</v>
      </c>
      <c r="B279" s="7"/>
      <c r="C279" s="7"/>
      <c r="D279" s="7"/>
      <c r="E279" s="7" t="s">
        <v>193</v>
      </c>
      <c r="F279" s="7"/>
    </row>
    <row r="280" spans="1:6" ht="15.75">
      <c r="A280" s="7"/>
      <c r="B280" s="7"/>
      <c r="C280" s="7"/>
      <c r="D280" s="7"/>
      <c r="E280" s="7"/>
      <c r="F280" s="7"/>
    </row>
    <row r="281" spans="1:6" ht="15.75">
      <c r="A281" s="7" t="s">
        <v>194</v>
      </c>
      <c r="B281" s="7"/>
      <c r="C281" s="7"/>
      <c r="D281" s="7"/>
      <c r="E281" s="7"/>
      <c r="F281" s="7"/>
    </row>
    <row r="282" spans="1:6" ht="15.75">
      <c r="A282" s="7"/>
      <c r="B282" s="7"/>
      <c r="C282" s="7"/>
      <c r="D282" s="7"/>
      <c r="E282" s="7"/>
      <c r="F282" s="7"/>
    </row>
    <row r="283" spans="1:6" ht="15.75">
      <c r="A283" s="7" t="s">
        <v>195</v>
      </c>
      <c r="B283" s="7"/>
      <c r="C283" s="7"/>
      <c r="D283" s="7"/>
      <c r="E283" s="7" t="s">
        <v>196</v>
      </c>
      <c r="F283" s="7"/>
    </row>
    <row r="284" spans="1:6" ht="15.75">
      <c r="A284" s="7" t="s">
        <v>197</v>
      </c>
      <c r="B284" s="7"/>
      <c r="C284" s="7"/>
      <c r="D284" s="7"/>
      <c r="E284" s="7" t="s">
        <v>198</v>
      </c>
      <c r="F284" s="7"/>
    </row>
    <row r="285" spans="1:6" ht="15.75">
      <c r="A285" s="7" t="s">
        <v>199</v>
      </c>
      <c r="B285" s="7"/>
      <c r="C285" s="7"/>
      <c r="D285" s="7"/>
      <c r="E285" s="7" t="s">
        <v>200</v>
      </c>
      <c r="F285" s="7"/>
    </row>
    <row r="286" spans="1:6" ht="15.75">
      <c r="A286" s="7"/>
      <c r="B286" s="7"/>
      <c r="C286" s="7"/>
      <c r="D286" s="7"/>
      <c r="E286" s="7"/>
      <c r="F286" s="7"/>
    </row>
    <row r="287" spans="1:6" ht="15.75">
      <c r="A287" s="7" t="s">
        <v>201</v>
      </c>
      <c r="B287" s="7"/>
      <c r="C287" s="7"/>
      <c r="D287" s="7"/>
      <c r="E287" s="7"/>
      <c r="F287" s="7"/>
    </row>
    <row r="288" spans="1:6" ht="15.75">
      <c r="A288" s="7" t="s">
        <v>202</v>
      </c>
      <c r="B288" s="7"/>
      <c r="C288" s="7"/>
      <c r="D288" s="7"/>
      <c r="E288" s="7"/>
      <c r="F288" s="7"/>
    </row>
    <row r="289" spans="1:6" ht="15.75">
      <c r="A289" s="7"/>
      <c r="B289" s="7"/>
      <c r="C289" s="7"/>
      <c r="D289" s="7"/>
      <c r="E289" s="7"/>
      <c r="F289" s="7"/>
    </row>
    <row r="290" spans="1:6" ht="15.75">
      <c r="A290" s="7"/>
      <c r="B290" s="7"/>
      <c r="C290" s="7"/>
      <c r="D290" s="7"/>
      <c r="E290" s="7"/>
      <c r="F290" s="7"/>
    </row>
    <row r="291" spans="1:6" ht="15.75">
      <c r="A291" s="7"/>
      <c r="B291" s="7"/>
      <c r="C291" s="7"/>
      <c r="D291" s="7"/>
      <c r="E291" s="7"/>
      <c r="F291" s="7"/>
    </row>
    <row r="292" spans="1:6" ht="15.75">
      <c r="A292" s="7"/>
      <c r="B292" s="7"/>
      <c r="C292" s="7"/>
      <c r="D292" s="7"/>
      <c r="E292" s="7"/>
      <c r="F292" s="7"/>
    </row>
    <row r="293" spans="1:6" ht="15.75">
      <c r="A293" s="7"/>
      <c r="B293" s="7"/>
      <c r="C293" s="7"/>
      <c r="D293" s="7"/>
      <c r="E293" s="7"/>
      <c r="F293" s="7"/>
    </row>
    <row r="294" spans="1:6" ht="15.75">
      <c r="A294" s="7"/>
      <c r="B294" s="7"/>
      <c r="C294" s="7"/>
      <c r="D294" s="7"/>
      <c r="E294" s="7"/>
      <c r="F294" s="7"/>
    </row>
    <row r="295" spans="1:6" ht="15.75">
      <c r="A295" s="7"/>
      <c r="B295" s="7"/>
      <c r="C295" s="7"/>
      <c r="D295" s="7"/>
      <c r="E295" s="7"/>
      <c r="F295" s="7"/>
    </row>
    <row r="296" spans="1:6" ht="15.75">
      <c r="A296" s="7"/>
      <c r="B296" s="7"/>
      <c r="C296" s="7"/>
      <c r="D296" s="7"/>
      <c r="E296" s="7"/>
      <c r="F296" s="7"/>
    </row>
    <row r="297" spans="1:6" ht="15.75">
      <c r="A297" s="7"/>
      <c r="B297" s="7"/>
      <c r="C297" s="7"/>
      <c r="D297" s="7"/>
      <c r="F297" s="7"/>
    </row>
  </sheetData>
  <printOptions/>
  <pageMargins left="0.75" right="0.75" top="1" bottom="1" header="0.5" footer="0.5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fionam</cp:lastModifiedBy>
  <dcterms:created xsi:type="dcterms:W3CDTF">2007-02-08T12:03:14Z</dcterms:created>
  <dcterms:modified xsi:type="dcterms:W3CDTF">2007-02-08T12:03:14Z</dcterms:modified>
  <cp:category/>
  <cp:version/>
  <cp:contentType/>
  <cp:contentStatus/>
</cp:coreProperties>
</file>