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200" windowHeight="11985"/>
  </bookViews>
  <sheets>
    <sheet name="Parameters" sheetId="4" r:id="rId1"/>
    <sheet name="Scenario 1" sheetId="9" r:id="rId2"/>
    <sheet name="Scenario 2" sheetId="10" r:id="rId3"/>
    <sheet name="Charts" sheetId="3" r:id="rId4"/>
  </sheets>
  <calcPr calcId="152511"/>
</workbook>
</file>

<file path=xl/calcChain.xml><?xml version="1.0" encoding="utf-8"?>
<calcChain xmlns="http://schemas.openxmlformats.org/spreadsheetml/2006/main">
  <c r="E67" i="10" l="1"/>
  <c r="J49" i="10"/>
  <c r="I49" i="10"/>
  <c r="H49" i="10"/>
  <c r="G49" i="10"/>
  <c r="J48" i="10"/>
  <c r="I48" i="10"/>
  <c r="H48" i="10"/>
  <c r="G48" i="10"/>
  <c r="J47" i="10"/>
  <c r="I47" i="10"/>
  <c r="H47" i="10"/>
  <c r="G47" i="10"/>
  <c r="J46" i="10"/>
  <c r="I46" i="10"/>
  <c r="H46" i="10"/>
  <c r="G46" i="10"/>
  <c r="J45" i="10"/>
  <c r="I45" i="10"/>
  <c r="H45" i="10"/>
  <c r="G45" i="10"/>
  <c r="J44" i="10"/>
  <c r="I44" i="10"/>
  <c r="H44" i="10"/>
  <c r="G44" i="10"/>
  <c r="J43" i="10"/>
  <c r="I43" i="10"/>
  <c r="H43" i="10"/>
  <c r="G43" i="10"/>
  <c r="J42" i="10"/>
  <c r="I42" i="10"/>
  <c r="H42" i="10"/>
  <c r="G42" i="10"/>
  <c r="J41" i="10"/>
  <c r="I41" i="10"/>
  <c r="H41" i="10"/>
  <c r="G41" i="10"/>
  <c r="J40" i="10"/>
  <c r="I40" i="10"/>
  <c r="H40" i="10"/>
  <c r="G40" i="10"/>
  <c r="J39" i="10"/>
  <c r="I39" i="10"/>
  <c r="H39" i="10"/>
  <c r="G39" i="10"/>
  <c r="J38" i="10"/>
  <c r="I38" i="10"/>
  <c r="H38" i="10"/>
  <c r="G38" i="10"/>
  <c r="J37" i="10"/>
  <c r="I37" i="10"/>
  <c r="H37" i="10"/>
  <c r="G37" i="10"/>
  <c r="J36" i="10"/>
  <c r="I36" i="10"/>
  <c r="H36" i="10"/>
  <c r="G36" i="10"/>
  <c r="J35" i="10"/>
  <c r="I35" i="10"/>
  <c r="H35" i="10"/>
  <c r="G35" i="10"/>
  <c r="J34" i="10"/>
  <c r="I34" i="10"/>
  <c r="H34" i="10"/>
  <c r="G34" i="10"/>
  <c r="J33" i="10"/>
  <c r="I33" i="10"/>
  <c r="H33" i="10"/>
  <c r="G33" i="10"/>
  <c r="J32" i="10"/>
  <c r="I32" i="10"/>
  <c r="H32" i="10"/>
  <c r="G32" i="10"/>
  <c r="J31" i="10"/>
  <c r="I31" i="10"/>
  <c r="H31" i="10"/>
  <c r="G31" i="10"/>
  <c r="J30" i="10"/>
  <c r="I30" i="10"/>
  <c r="H30" i="10"/>
  <c r="G30" i="10"/>
  <c r="J29" i="10"/>
  <c r="I29" i="10"/>
  <c r="H29" i="10"/>
  <c r="G29" i="10"/>
  <c r="J28" i="10"/>
  <c r="I28" i="10"/>
  <c r="H28" i="10"/>
  <c r="G28" i="10"/>
  <c r="J27" i="10"/>
  <c r="I27" i="10"/>
  <c r="H27" i="10"/>
  <c r="G27" i="10"/>
  <c r="J26" i="10"/>
  <c r="I26" i="10"/>
  <c r="H26" i="10"/>
  <c r="G26" i="10"/>
  <c r="J25" i="10"/>
  <c r="I25" i="10"/>
  <c r="H25" i="10"/>
  <c r="G25" i="10"/>
  <c r="J24" i="10"/>
  <c r="I24" i="10"/>
  <c r="H24" i="10"/>
  <c r="G24" i="10"/>
  <c r="J23" i="10"/>
  <c r="I23" i="10"/>
  <c r="H23" i="10"/>
  <c r="G23" i="10"/>
  <c r="J22" i="10"/>
  <c r="I22" i="10"/>
  <c r="H22" i="10"/>
  <c r="G22" i="10"/>
  <c r="J21" i="10"/>
  <c r="I21" i="10"/>
  <c r="H21" i="10"/>
  <c r="G21" i="10"/>
  <c r="G6" i="10"/>
  <c r="G7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G5" i="10"/>
  <c r="J5" i="10"/>
  <c r="J49" i="9"/>
  <c r="I49" i="9"/>
  <c r="H49" i="9"/>
  <c r="G49" i="9"/>
  <c r="J48" i="9"/>
  <c r="I48" i="9"/>
  <c r="H48" i="9"/>
  <c r="G48" i="9"/>
  <c r="J47" i="9"/>
  <c r="I47" i="9"/>
  <c r="H47" i="9"/>
  <c r="G47" i="9"/>
  <c r="J46" i="9"/>
  <c r="I46" i="9"/>
  <c r="H46" i="9"/>
  <c r="G46" i="9"/>
  <c r="J45" i="9"/>
  <c r="I45" i="9"/>
  <c r="H45" i="9"/>
  <c r="G45" i="9"/>
  <c r="J44" i="9"/>
  <c r="I44" i="9"/>
  <c r="H44" i="9"/>
  <c r="G44" i="9"/>
  <c r="J43" i="9"/>
  <c r="I43" i="9"/>
  <c r="H43" i="9"/>
  <c r="G43" i="9"/>
  <c r="J42" i="9"/>
  <c r="I42" i="9"/>
  <c r="H42" i="9"/>
  <c r="G42" i="9"/>
  <c r="J41" i="9"/>
  <c r="I41" i="9"/>
  <c r="H41" i="9"/>
  <c r="G41" i="9"/>
  <c r="J40" i="9"/>
  <c r="I40" i="9"/>
  <c r="H40" i="9"/>
  <c r="G40" i="9"/>
  <c r="J39" i="9"/>
  <c r="I39" i="9"/>
  <c r="H39" i="9"/>
  <c r="G39" i="9"/>
  <c r="J38" i="9"/>
  <c r="I38" i="9"/>
  <c r="H38" i="9"/>
  <c r="G38" i="9"/>
  <c r="J37" i="9"/>
  <c r="I37" i="9"/>
  <c r="H37" i="9"/>
  <c r="G37" i="9"/>
  <c r="J36" i="9"/>
  <c r="I36" i="9"/>
  <c r="H36" i="9"/>
  <c r="G36" i="9"/>
  <c r="J35" i="9"/>
  <c r="I35" i="9"/>
  <c r="H35" i="9"/>
  <c r="G35" i="9"/>
  <c r="J34" i="9"/>
  <c r="I34" i="9"/>
  <c r="H34" i="9"/>
  <c r="G34" i="9"/>
  <c r="J33" i="9"/>
  <c r="I33" i="9"/>
  <c r="H33" i="9"/>
  <c r="G33" i="9"/>
  <c r="J32" i="9"/>
  <c r="I32" i="9"/>
  <c r="H32" i="9"/>
  <c r="G32" i="9"/>
  <c r="J31" i="9"/>
  <c r="I31" i="9"/>
  <c r="H31" i="9"/>
  <c r="G31" i="9"/>
  <c r="J30" i="9"/>
  <c r="I30" i="9"/>
  <c r="H30" i="9"/>
  <c r="G30" i="9"/>
  <c r="J29" i="9"/>
  <c r="I29" i="9"/>
  <c r="H29" i="9"/>
  <c r="G29" i="9"/>
  <c r="J28" i="9"/>
  <c r="I28" i="9"/>
  <c r="H28" i="9"/>
  <c r="G28" i="9"/>
  <c r="J27" i="9"/>
  <c r="I27" i="9"/>
  <c r="H27" i="9"/>
  <c r="G27" i="9"/>
  <c r="J26" i="9"/>
  <c r="I26" i="9"/>
  <c r="H26" i="9"/>
  <c r="G26" i="9"/>
  <c r="J25" i="9"/>
  <c r="I25" i="9"/>
  <c r="H25" i="9"/>
  <c r="G25" i="9"/>
  <c r="J24" i="9"/>
  <c r="I24" i="9"/>
  <c r="H24" i="9"/>
  <c r="G24" i="9"/>
  <c r="J23" i="9"/>
  <c r="I23" i="9"/>
  <c r="H23" i="9"/>
  <c r="G23" i="9"/>
  <c r="J22" i="9"/>
  <c r="I22" i="9"/>
  <c r="H22" i="9"/>
  <c r="G22" i="9"/>
  <c r="J21" i="9"/>
  <c r="I21" i="9"/>
  <c r="H21" i="9"/>
  <c r="G21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6" i="9"/>
  <c r="J7" i="10"/>
  <c r="G8" i="10"/>
  <c r="J6" i="10"/>
  <c r="W1" i="10"/>
  <c r="D58" i="10"/>
  <c r="Q6" i="9"/>
  <c r="Q7" i="9"/>
  <c r="Q8" i="9"/>
  <c r="Q9" i="9"/>
  <c r="Q10" i="9"/>
  <c r="Q11" i="9"/>
  <c r="Q12" i="9"/>
  <c r="Q13" i="9"/>
  <c r="Q14" i="9"/>
  <c r="Q15" i="9"/>
  <c r="Q16" i="9"/>
  <c r="Q17" i="9"/>
  <c r="Q18" i="9"/>
  <c r="Q19" i="9"/>
  <c r="Q20" i="9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Q48" i="9"/>
  <c r="Q49" i="9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D69" i="10"/>
  <c r="D56" i="3"/>
  <c r="D61" i="10"/>
  <c r="A6" i="10"/>
  <c r="AC5" i="10"/>
  <c r="R5" i="10"/>
  <c r="B5" i="10"/>
  <c r="Z4" i="10"/>
  <c r="Z4" i="9"/>
  <c r="D69" i="9"/>
  <c r="C56" i="3"/>
  <c r="D61" i="9"/>
  <c r="D58" i="9"/>
  <c r="D57" i="9"/>
  <c r="D56" i="9"/>
  <c r="R5" i="9"/>
  <c r="I5" i="9"/>
  <c r="D4" i="3"/>
  <c r="H5" i="9"/>
  <c r="G5" i="9"/>
  <c r="B4" i="3"/>
  <c r="B5" i="9"/>
  <c r="A6" i="9"/>
  <c r="R6" i="9"/>
  <c r="C13" i="4"/>
  <c r="C5" i="9"/>
  <c r="D45" i="4"/>
  <c r="B47" i="4"/>
  <c r="D47" i="4"/>
  <c r="B46" i="4"/>
  <c r="D46" i="4"/>
  <c r="B52" i="4"/>
  <c r="Z9" i="10"/>
  <c r="A7" i="9"/>
  <c r="AC5" i="9"/>
  <c r="AC6" i="10"/>
  <c r="W6" i="10"/>
  <c r="R6" i="10"/>
  <c r="B6" i="10"/>
  <c r="Q6" i="10"/>
  <c r="A7" i="10"/>
  <c r="A8" i="10"/>
  <c r="Q7" i="10"/>
  <c r="A9" i="10"/>
  <c r="B9" i="10"/>
  <c r="B8" i="10"/>
  <c r="AC7" i="10"/>
  <c r="R7" i="10"/>
  <c r="B7" i="10"/>
  <c r="AC9" i="10"/>
  <c r="AD9" i="10"/>
  <c r="A10" i="10"/>
  <c r="R8" i="10"/>
  <c r="Q8" i="10"/>
  <c r="Q9" i="10"/>
  <c r="W8" i="10"/>
  <c r="W7" i="10"/>
  <c r="AC8" i="10"/>
  <c r="R9" i="10"/>
  <c r="W9" i="10"/>
  <c r="AC7" i="9"/>
  <c r="W7" i="9"/>
  <c r="A8" i="9"/>
  <c r="B7" i="9"/>
  <c r="R7" i="9"/>
  <c r="AC6" i="9"/>
  <c r="W6" i="9"/>
  <c r="B6" i="9"/>
  <c r="AC8" i="9"/>
  <c r="R8" i="9"/>
  <c r="W8" i="9"/>
  <c r="A9" i="9"/>
  <c r="B8" i="9"/>
  <c r="R10" i="10"/>
  <c r="B10" i="10"/>
  <c r="Q10" i="10"/>
  <c r="AC10" i="10"/>
  <c r="W10" i="10"/>
  <c r="A11" i="10"/>
  <c r="AC9" i="9"/>
  <c r="W9" i="9"/>
  <c r="R9" i="9"/>
  <c r="A10" i="9"/>
  <c r="B9" i="9"/>
  <c r="Q11" i="10"/>
  <c r="AC11" i="10"/>
  <c r="B11" i="10"/>
  <c r="W11" i="10"/>
  <c r="R11" i="10"/>
  <c r="A12" i="10"/>
  <c r="W10" i="9"/>
  <c r="R10" i="9"/>
  <c r="A11" i="9"/>
  <c r="B10" i="9"/>
  <c r="AC10" i="9"/>
  <c r="A13" i="10"/>
  <c r="AC12" i="10"/>
  <c r="W12" i="10"/>
  <c r="R12" i="10"/>
  <c r="Q12" i="10"/>
  <c r="B12" i="10"/>
  <c r="AC13" i="10"/>
  <c r="A14" i="10"/>
  <c r="R13" i="10"/>
  <c r="B13" i="10"/>
  <c r="Q13" i="10"/>
  <c r="W13" i="10"/>
  <c r="AC11" i="9"/>
  <c r="W11" i="9"/>
  <c r="A12" i="9"/>
  <c r="B11" i="9"/>
  <c r="R11" i="9"/>
  <c r="Z11" i="9"/>
  <c r="AC12" i="9"/>
  <c r="W12" i="9"/>
  <c r="A13" i="9"/>
  <c r="B12" i="9"/>
  <c r="R12" i="9"/>
  <c r="T12" i="9"/>
  <c r="W14" i="10"/>
  <c r="AC14" i="10"/>
  <c r="R14" i="10"/>
  <c r="A15" i="10"/>
  <c r="Q14" i="10"/>
  <c r="B14" i="10"/>
  <c r="AC15" i="10"/>
  <c r="AD15" i="10"/>
  <c r="A16" i="10"/>
  <c r="R15" i="10"/>
  <c r="W15" i="10"/>
  <c r="Q15" i="10"/>
  <c r="B15" i="10"/>
  <c r="AC13" i="9"/>
  <c r="W13" i="9"/>
  <c r="A14" i="9"/>
  <c r="B13" i="9"/>
  <c r="R13" i="9"/>
  <c r="C13" i="9"/>
  <c r="AC16" i="10"/>
  <c r="AD16" i="10"/>
  <c r="W16" i="10"/>
  <c r="Q16" i="10"/>
  <c r="B16" i="10"/>
  <c r="R16" i="10"/>
  <c r="A17" i="10"/>
  <c r="W14" i="9"/>
  <c r="T14" i="9"/>
  <c r="A15" i="9"/>
  <c r="B14" i="9"/>
  <c r="R14" i="9"/>
  <c r="AC14" i="9"/>
  <c r="T15" i="9"/>
  <c r="W15" i="9"/>
  <c r="A16" i="9"/>
  <c r="B15" i="9"/>
  <c r="AC15" i="9"/>
  <c r="R15" i="9"/>
  <c r="AC17" i="10"/>
  <c r="A18" i="10"/>
  <c r="R17" i="10"/>
  <c r="W17" i="10"/>
  <c r="C17" i="10"/>
  <c r="Q17" i="10"/>
  <c r="B17" i="10"/>
  <c r="R18" i="10"/>
  <c r="A19" i="10"/>
  <c r="B18" i="10"/>
  <c r="AC18" i="10"/>
  <c r="W18" i="10"/>
  <c r="Q18" i="10"/>
  <c r="AC16" i="9"/>
  <c r="R16" i="9"/>
  <c r="A17" i="9"/>
  <c r="W16" i="9"/>
  <c r="B16" i="9"/>
  <c r="AC17" i="9"/>
  <c r="W17" i="9"/>
  <c r="R17" i="9"/>
  <c r="A18" i="9"/>
  <c r="B17" i="9"/>
  <c r="U17" i="9"/>
  <c r="W19" i="10"/>
  <c r="AC19" i="10"/>
  <c r="R19" i="10"/>
  <c r="A20" i="10"/>
  <c r="Q19" i="10"/>
  <c r="B19" i="10"/>
  <c r="W18" i="9"/>
  <c r="R18" i="9"/>
  <c r="B18" i="9"/>
  <c r="AC18" i="9"/>
  <c r="A19" i="9"/>
  <c r="A21" i="10"/>
  <c r="W20" i="10"/>
  <c r="AC20" i="10"/>
  <c r="R20" i="10"/>
  <c r="B20" i="10"/>
  <c r="Z20" i="10"/>
  <c r="Q20" i="10"/>
  <c r="R21" i="10"/>
  <c r="AC21" i="10"/>
  <c r="B21" i="10"/>
  <c r="W21" i="10"/>
  <c r="Q21" i="10"/>
  <c r="A22" i="10"/>
  <c r="AC19" i="9"/>
  <c r="W19" i="9"/>
  <c r="R19" i="9"/>
  <c r="A20" i="9"/>
  <c r="B19" i="9"/>
  <c r="AC20" i="9"/>
  <c r="W20" i="9"/>
  <c r="B20" i="9"/>
  <c r="R20" i="9"/>
  <c r="T20" i="9"/>
  <c r="A21" i="9"/>
  <c r="B22" i="10"/>
  <c r="AC22" i="10"/>
  <c r="W22" i="10"/>
  <c r="Q22" i="10"/>
  <c r="R22" i="10"/>
  <c r="A23" i="10"/>
  <c r="C22" i="10"/>
  <c r="AC21" i="9"/>
  <c r="W21" i="9"/>
  <c r="R21" i="9"/>
  <c r="A22" i="9"/>
  <c r="B21" i="9"/>
  <c r="AC23" i="10"/>
  <c r="W23" i="10"/>
  <c r="B23" i="10"/>
  <c r="R23" i="10"/>
  <c r="Q23" i="10"/>
  <c r="U23" i="10"/>
  <c r="A24" i="10"/>
  <c r="W22" i="9"/>
  <c r="B22" i="9"/>
  <c r="R22" i="9"/>
  <c r="A23" i="9"/>
  <c r="AC22" i="9"/>
  <c r="AC24" i="10"/>
  <c r="W24" i="10"/>
  <c r="B24" i="10"/>
  <c r="R24" i="10"/>
  <c r="A25" i="10"/>
  <c r="Q24" i="10"/>
  <c r="B25" i="10"/>
  <c r="AC25" i="10"/>
  <c r="W25" i="10"/>
  <c r="A26" i="10"/>
  <c r="Q25" i="10"/>
  <c r="R25" i="10"/>
  <c r="AC23" i="9"/>
  <c r="B23" i="9"/>
  <c r="W23" i="9"/>
  <c r="R23" i="9"/>
  <c r="A24" i="9"/>
  <c r="A27" i="10"/>
  <c r="Q26" i="10"/>
  <c r="U26" i="10"/>
  <c r="AC26" i="10"/>
  <c r="W26" i="10"/>
  <c r="B26" i="10"/>
  <c r="R26" i="10"/>
  <c r="T26" i="10"/>
  <c r="AC24" i="9"/>
  <c r="R24" i="9"/>
  <c r="B24" i="9"/>
  <c r="U24" i="9"/>
  <c r="W24" i="9"/>
  <c r="A25" i="9"/>
  <c r="AC27" i="10"/>
  <c r="B27" i="10"/>
  <c r="W27" i="10"/>
  <c r="Q27" i="10"/>
  <c r="R27" i="10"/>
  <c r="Z27" i="10"/>
  <c r="A28" i="10"/>
  <c r="W25" i="9"/>
  <c r="R25" i="9"/>
  <c r="B25" i="9"/>
  <c r="AC25" i="9"/>
  <c r="A26" i="9"/>
  <c r="W26" i="9"/>
  <c r="R26" i="9"/>
  <c r="T26" i="9"/>
  <c r="B26" i="9"/>
  <c r="A27" i="9"/>
  <c r="AC26" i="9"/>
  <c r="A29" i="10"/>
  <c r="AC28" i="10"/>
  <c r="W28" i="10"/>
  <c r="Q28" i="10"/>
  <c r="R28" i="10"/>
  <c r="U28" i="10"/>
  <c r="B28" i="10"/>
  <c r="W27" i="9"/>
  <c r="AC27" i="9"/>
  <c r="R27" i="9"/>
  <c r="B27" i="9"/>
  <c r="A28" i="9"/>
  <c r="AC29" i="10"/>
  <c r="B29" i="10"/>
  <c r="W29" i="10"/>
  <c r="R29" i="10"/>
  <c r="A30" i="10"/>
  <c r="Q29" i="10"/>
  <c r="AC30" i="10"/>
  <c r="AD30" i="10"/>
  <c r="A31" i="10"/>
  <c r="W30" i="10"/>
  <c r="R30" i="10"/>
  <c r="T30" i="10"/>
  <c r="B30" i="10"/>
  <c r="Q30" i="10"/>
  <c r="AC28" i="9"/>
  <c r="W28" i="9"/>
  <c r="U28" i="9"/>
  <c r="B28" i="9"/>
  <c r="R28" i="9"/>
  <c r="A29" i="9"/>
  <c r="AC31" i="10"/>
  <c r="W31" i="10"/>
  <c r="U31" i="10"/>
  <c r="R31" i="10"/>
  <c r="B31" i="10"/>
  <c r="A32" i="10"/>
  <c r="Q31" i="10"/>
  <c r="AC29" i="9"/>
  <c r="W29" i="9"/>
  <c r="B29" i="9"/>
  <c r="R29" i="9"/>
  <c r="A30" i="9"/>
  <c r="A33" i="10"/>
  <c r="B32" i="10"/>
  <c r="AC32" i="10"/>
  <c r="Q32" i="10"/>
  <c r="W32" i="10"/>
  <c r="R32" i="10"/>
  <c r="W30" i="9"/>
  <c r="U30" i="9"/>
  <c r="R30" i="9"/>
  <c r="A31" i="9"/>
  <c r="B30" i="9"/>
  <c r="AC30" i="9"/>
  <c r="AC31" i="9"/>
  <c r="W31" i="9"/>
  <c r="B31" i="9"/>
  <c r="R31" i="9"/>
  <c r="A32" i="9"/>
  <c r="AC33" i="10"/>
  <c r="W33" i="10"/>
  <c r="AA33" i="10"/>
  <c r="R33" i="10"/>
  <c r="C33" i="10"/>
  <c r="B33" i="10"/>
  <c r="A34" i="10"/>
  <c r="Q33" i="10"/>
  <c r="W34" i="10"/>
  <c r="B34" i="10"/>
  <c r="R34" i="10"/>
  <c r="Q34" i="10"/>
  <c r="A35" i="10"/>
  <c r="AC34" i="10"/>
  <c r="AC32" i="9"/>
  <c r="R32" i="9"/>
  <c r="W32" i="9"/>
  <c r="B32" i="9"/>
  <c r="A33" i="9"/>
  <c r="Z32" i="9"/>
  <c r="AC35" i="10"/>
  <c r="W35" i="10"/>
  <c r="R35" i="10"/>
  <c r="B35" i="10"/>
  <c r="C35" i="10"/>
  <c r="Q35" i="10"/>
  <c r="A36" i="10"/>
  <c r="W33" i="9"/>
  <c r="AC33" i="9"/>
  <c r="R33" i="9"/>
  <c r="B33" i="9"/>
  <c r="T33" i="9"/>
  <c r="A34" i="9"/>
  <c r="R34" i="9"/>
  <c r="W34" i="9"/>
  <c r="A35" i="9"/>
  <c r="B34" i="9"/>
  <c r="AC34" i="9"/>
  <c r="A37" i="10"/>
  <c r="W36" i="10"/>
  <c r="B36" i="10"/>
  <c r="AC36" i="10"/>
  <c r="R36" i="10"/>
  <c r="Q36" i="10"/>
  <c r="T37" i="10"/>
  <c r="B37" i="10"/>
  <c r="A38" i="10"/>
  <c r="R37" i="10"/>
  <c r="W37" i="10"/>
  <c r="Q37" i="10"/>
  <c r="C37" i="10"/>
  <c r="AC37" i="10"/>
  <c r="W35" i="9"/>
  <c r="AC35" i="9"/>
  <c r="R35" i="9"/>
  <c r="B35" i="9"/>
  <c r="A36" i="9"/>
  <c r="W36" i="9"/>
  <c r="AC36" i="9"/>
  <c r="R36" i="9"/>
  <c r="B36" i="9"/>
  <c r="A37" i="9"/>
  <c r="Q38" i="10"/>
  <c r="AC38" i="10"/>
  <c r="W38" i="10"/>
  <c r="B38" i="10"/>
  <c r="R38" i="10"/>
  <c r="A39" i="10"/>
  <c r="AC39" i="10"/>
  <c r="A40" i="10"/>
  <c r="R39" i="10"/>
  <c r="W39" i="10"/>
  <c r="B39" i="10"/>
  <c r="Q39" i="10"/>
  <c r="AC37" i="9"/>
  <c r="W37" i="9"/>
  <c r="R37" i="9"/>
  <c r="B37" i="9"/>
  <c r="A38" i="9"/>
  <c r="AC40" i="10"/>
  <c r="R40" i="10"/>
  <c r="Q40" i="10"/>
  <c r="B40" i="10"/>
  <c r="A41" i="10"/>
  <c r="W40" i="10"/>
  <c r="W38" i="9"/>
  <c r="R38" i="9"/>
  <c r="AC38" i="9"/>
  <c r="B38" i="9"/>
  <c r="A39" i="9"/>
  <c r="AC39" i="9"/>
  <c r="W39" i="9"/>
  <c r="R39" i="9"/>
  <c r="B39" i="9"/>
  <c r="A40" i="9"/>
  <c r="Z39" i="9"/>
  <c r="U41" i="10"/>
  <c r="R41" i="10"/>
  <c r="A42" i="10"/>
  <c r="Q41" i="10"/>
  <c r="B41" i="10"/>
  <c r="W41" i="10"/>
  <c r="C41" i="10"/>
  <c r="AC41" i="10"/>
  <c r="Q42" i="10"/>
  <c r="A43" i="10"/>
  <c r="R42" i="10"/>
  <c r="W42" i="10"/>
  <c r="AA42" i="10"/>
  <c r="AC42" i="10"/>
  <c r="B42" i="10"/>
  <c r="AC40" i="9"/>
  <c r="R40" i="9"/>
  <c r="T40" i="9"/>
  <c r="W40" i="9"/>
  <c r="B40" i="9"/>
  <c r="A41" i="9"/>
  <c r="Z40" i="9"/>
  <c r="A44" i="10"/>
  <c r="Q43" i="10"/>
  <c r="AC43" i="10"/>
  <c r="B43" i="10"/>
  <c r="T43" i="10"/>
  <c r="R43" i="10"/>
  <c r="W43" i="10"/>
  <c r="AC41" i="9"/>
  <c r="W41" i="9"/>
  <c r="R41" i="9"/>
  <c r="B41" i="9"/>
  <c r="A42" i="9"/>
  <c r="AC44" i="10"/>
  <c r="C44" i="10"/>
  <c r="W44" i="10"/>
  <c r="B44" i="10"/>
  <c r="R44" i="10"/>
  <c r="Q44" i="10"/>
  <c r="A45" i="10"/>
  <c r="U44" i="10"/>
  <c r="R42" i="9"/>
  <c r="W42" i="9"/>
  <c r="B42" i="9"/>
  <c r="A43" i="9"/>
  <c r="AC42" i="9"/>
  <c r="AC43" i="9"/>
  <c r="W43" i="9"/>
  <c r="R43" i="9"/>
  <c r="B43" i="9"/>
  <c r="A44" i="9"/>
  <c r="B45" i="10"/>
  <c r="R45" i="10"/>
  <c r="AC45" i="10"/>
  <c r="AD45" i="10"/>
  <c r="A46" i="10"/>
  <c r="W45" i="10"/>
  <c r="Q45" i="10"/>
  <c r="Q46" i="10"/>
  <c r="R46" i="10"/>
  <c r="W46" i="10"/>
  <c r="B46" i="10"/>
  <c r="T46" i="10"/>
  <c r="A47" i="10"/>
  <c r="AC46" i="10"/>
  <c r="AC44" i="9"/>
  <c r="W44" i="9"/>
  <c r="R44" i="9"/>
  <c r="T44" i="9"/>
  <c r="B44" i="9"/>
  <c r="A45" i="9"/>
  <c r="AC45" i="9"/>
  <c r="W45" i="9"/>
  <c r="R45" i="9"/>
  <c r="B45" i="9"/>
  <c r="A46" i="9"/>
  <c r="Q47" i="10"/>
  <c r="A48" i="10"/>
  <c r="AC47" i="10"/>
  <c r="AD47" i="10"/>
  <c r="R47" i="10"/>
  <c r="B47" i="10"/>
  <c r="W47" i="10"/>
  <c r="W46" i="9"/>
  <c r="R46" i="9"/>
  <c r="B46" i="9"/>
  <c r="AC46" i="9"/>
  <c r="A47" i="9"/>
  <c r="C48" i="10"/>
  <c r="B48" i="10"/>
  <c r="Q48" i="10"/>
  <c r="A49" i="10"/>
  <c r="AC48" i="10"/>
  <c r="W48" i="10"/>
  <c r="R48" i="10"/>
  <c r="AC47" i="9"/>
  <c r="W47" i="9"/>
  <c r="A48" i="9"/>
  <c r="R47" i="9"/>
  <c r="B47" i="9"/>
  <c r="T49" i="10"/>
  <c r="W49" i="10"/>
  <c r="B49" i="10"/>
  <c r="Q49" i="10"/>
  <c r="AC49" i="10"/>
  <c r="C49" i="10"/>
  <c r="R49" i="10"/>
  <c r="AC48" i="9"/>
  <c r="R48" i="9"/>
  <c r="W48" i="9"/>
  <c r="B48" i="9"/>
  <c r="A49" i="9"/>
  <c r="AC49" i="9"/>
  <c r="W49" i="9"/>
  <c r="R49" i="9"/>
  <c r="B49" i="9"/>
  <c r="D56" i="10"/>
  <c r="D57" i="10"/>
  <c r="Z7" i="10"/>
  <c r="W5" i="9"/>
  <c r="J5" i="9"/>
  <c r="Q5" i="9"/>
  <c r="C4" i="3"/>
  <c r="D5" i="3"/>
  <c r="C6" i="9"/>
  <c r="C7" i="9"/>
  <c r="T6" i="9"/>
  <c r="C8" i="9"/>
  <c r="C10" i="9"/>
  <c r="U14" i="10"/>
  <c r="T13" i="9"/>
  <c r="U14" i="9"/>
  <c r="T18" i="10"/>
  <c r="T16" i="9"/>
  <c r="T19" i="10"/>
  <c r="T18" i="9"/>
  <c r="U20" i="10"/>
  <c r="U19" i="9"/>
  <c r="T22" i="10"/>
  <c r="U25" i="10"/>
  <c r="U32" i="10"/>
  <c r="T34" i="9"/>
  <c r="T36" i="10"/>
  <c r="C35" i="9"/>
  <c r="U36" i="9"/>
  <c r="T38" i="9"/>
  <c r="C39" i="9"/>
  <c r="T41" i="10"/>
  <c r="C42" i="10"/>
  <c r="U40" i="9"/>
  <c r="C41" i="9"/>
  <c r="C46" i="10"/>
  <c r="U46" i="10"/>
  <c r="T45" i="9"/>
  <c r="U49" i="10"/>
  <c r="C48" i="9"/>
  <c r="T5" i="9"/>
  <c r="U6" i="9"/>
  <c r="U8" i="9"/>
  <c r="C11" i="10"/>
  <c r="T10" i="9"/>
  <c r="C13" i="10"/>
  <c r="U12" i="9"/>
  <c r="T14" i="10"/>
  <c r="C14" i="9"/>
  <c r="U15" i="9"/>
  <c r="T17" i="10"/>
  <c r="U19" i="10"/>
  <c r="T21" i="10"/>
  <c r="C25" i="10"/>
  <c r="U23" i="9"/>
  <c r="C27" i="10"/>
  <c r="C27" i="9"/>
  <c r="T29" i="10"/>
  <c r="T29" i="9"/>
  <c r="C32" i="10"/>
  <c r="C30" i="9"/>
  <c r="C33" i="9"/>
  <c r="U36" i="10"/>
  <c r="C37" i="9"/>
  <c r="U38" i="9"/>
  <c r="U42" i="10"/>
  <c r="C43" i="10"/>
  <c r="T42" i="9"/>
  <c r="C44" i="9"/>
  <c r="U45" i="9"/>
  <c r="U47" i="10"/>
  <c r="T48" i="10"/>
  <c r="C47" i="9"/>
  <c r="U48" i="9"/>
  <c r="T49" i="9"/>
  <c r="U5" i="9"/>
  <c r="C7" i="10"/>
  <c r="T7" i="9"/>
  <c r="T6" i="10"/>
  <c r="U10" i="10"/>
  <c r="T13" i="10"/>
  <c r="C15" i="10"/>
  <c r="U13" i="9"/>
  <c r="U16" i="10"/>
  <c r="C18" i="10"/>
  <c r="U18" i="9"/>
  <c r="C21" i="10"/>
  <c r="U20" i="9"/>
  <c r="C23" i="9"/>
  <c r="T24" i="9"/>
  <c r="T27" i="10"/>
  <c r="T27" i="9"/>
  <c r="C28" i="9"/>
  <c r="C31" i="10"/>
  <c r="U29" i="9"/>
  <c r="T32" i="10"/>
  <c r="T33" i="10"/>
  <c r="C34" i="10"/>
  <c r="U32" i="9"/>
  <c r="C34" i="9"/>
  <c r="T36" i="9"/>
  <c r="C38" i="10"/>
  <c r="U38" i="10"/>
  <c r="C40" i="10"/>
  <c r="T39" i="9"/>
  <c r="U43" i="10"/>
  <c r="U43" i="9"/>
  <c r="T45" i="10"/>
  <c r="U49" i="9"/>
  <c r="U8" i="10"/>
  <c r="U5" i="10"/>
  <c r="U11" i="10"/>
  <c r="T11" i="10"/>
  <c r="U10" i="9"/>
  <c r="T12" i="10"/>
  <c r="C11" i="9"/>
  <c r="C14" i="10"/>
  <c r="U15" i="10"/>
  <c r="C16" i="10"/>
  <c r="U18" i="10"/>
  <c r="T20" i="10"/>
  <c r="U22" i="10"/>
  <c r="T21" i="9"/>
  <c r="C23" i="10"/>
  <c r="T22" i="9"/>
  <c r="C24" i="10"/>
  <c r="C26" i="9"/>
  <c r="T28" i="10"/>
  <c r="C29" i="10"/>
  <c r="T28" i="9"/>
  <c r="T31" i="9"/>
  <c r="U35" i="10"/>
  <c r="C36" i="10"/>
  <c r="U35" i="9"/>
  <c r="T37" i="9"/>
  <c r="C40" i="9"/>
  <c r="C42" i="9"/>
  <c r="C45" i="10"/>
  <c r="C47" i="10"/>
  <c r="C14" i="4"/>
  <c r="O12" i="9"/>
  <c r="T7" i="10"/>
  <c r="U7" i="10"/>
  <c r="C8" i="10"/>
  <c r="T5" i="10"/>
  <c r="T9" i="9"/>
  <c r="U13" i="10"/>
  <c r="T11" i="9"/>
  <c r="C12" i="9"/>
  <c r="C15" i="9"/>
  <c r="U16" i="9"/>
  <c r="T17" i="9"/>
  <c r="C20" i="10"/>
  <c r="U21" i="10"/>
  <c r="T19" i="9"/>
  <c r="U21" i="9"/>
  <c r="T23" i="10"/>
  <c r="U22" i="9"/>
  <c r="C26" i="10"/>
  <c r="T25" i="9"/>
  <c r="U26" i="9"/>
  <c r="C28" i="10"/>
  <c r="U34" i="10"/>
  <c r="C32" i="9"/>
  <c r="T38" i="10"/>
  <c r="T39" i="10"/>
  <c r="C39" i="10"/>
  <c r="U37" i="9"/>
  <c r="U40" i="10"/>
  <c r="T40" i="10"/>
  <c r="C38" i="9"/>
  <c r="U39" i="9"/>
  <c r="T41" i="9"/>
  <c r="T44" i="10"/>
  <c r="T43" i="9"/>
  <c r="U45" i="10"/>
  <c r="U44" i="9"/>
  <c r="T46" i="9"/>
  <c r="T48" i="9"/>
  <c r="C6" i="10"/>
  <c r="C9" i="10"/>
  <c r="C5" i="10"/>
  <c r="T15" i="10"/>
  <c r="C16" i="9"/>
  <c r="C19" i="10"/>
  <c r="C19" i="9"/>
  <c r="C20" i="9"/>
  <c r="C21" i="9"/>
  <c r="C22" i="9"/>
  <c r="U24" i="10"/>
  <c r="T25" i="10"/>
  <c r="C24" i="9"/>
  <c r="C25" i="9"/>
  <c r="U29" i="10"/>
  <c r="C30" i="10"/>
  <c r="T31" i="10"/>
  <c r="C29" i="9"/>
  <c r="T30" i="9"/>
  <c r="U31" i="9"/>
  <c r="U33" i="10"/>
  <c r="U34" i="9"/>
  <c r="T35" i="9"/>
  <c r="C36" i="9"/>
  <c r="U39" i="10"/>
  <c r="T42" i="10"/>
  <c r="U41" i="9"/>
  <c r="C45" i="9"/>
  <c r="T47" i="10"/>
  <c r="U46" i="9"/>
  <c r="T47" i="9"/>
  <c r="C49" i="9"/>
  <c r="B14" i="4"/>
  <c r="D29" i="10"/>
  <c r="U6" i="10"/>
  <c r="T9" i="10"/>
  <c r="T8" i="10"/>
  <c r="U7" i="9"/>
  <c r="T8" i="9"/>
  <c r="T10" i="10"/>
  <c r="C9" i="9"/>
  <c r="U12" i="10"/>
  <c r="U11" i="9"/>
  <c r="T16" i="10"/>
  <c r="U17" i="10"/>
  <c r="C17" i="9"/>
  <c r="C18" i="9"/>
  <c r="T24" i="10"/>
  <c r="T23" i="9"/>
  <c r="U25" i="9"/>
  <c r="U30" i="10"/>
  <c r="C31" i="9"/>
  <c r="T34" i="10"/>
  <c r="T32" i="9"/>
  <c r="T35" i="10"/>
  <c r="U33" i="9"/>
  <c r="U37" i="10"/>
  <c r="U42" i="9"/>
  <c r="C43" i="9"/>
  <c r="C46" i="9"/>
  <c r="U48" i="10"/>
  <c r="U47" i="9"/>
  <c r="U9" i="9"/>
  <c r="C12" i="10"/>
  <c r="U9" i="10"/>
  <c r="O6" i="10"/>
  <c r="Q5" i="10"/>
  <c r="O23" i="10"/>
  <c r="V42" i="9"/>
  <c r="C10" i="10"/>
  <c r="O14" i="9"/>
  <c r="D34" i="9"/>
  <c r="D39" i="10"/>
  <c r="O25" i="9"/>
  <c r="O26" i="9"/>
  <c r="V5" i="9"/>
  <c r="D45" i="10"/>
  <c r="O8" i="9"/>
  <c r="O19" i="9"/>
  <c r="O17" i="10"/>
  <c r="Z48" i="9"/>
  <c r="Z44" i="9"/>
  <c r="Z44" i="10"/>
  <c r="Z38" i="9"/>
  <c r="Z36" i="9"/>
  <c r="Z32" i="10"/>
  <c r="Z24" i="9"/>
  <c r="Z23" i="9"/>
  <c r="O10" i="10"/>
  <c r="V23" i="10"/>
  <c r="D28" i="10"/>
  <c r="Z41" i="10"/>
  <c r="Z39" i="10"/>
  <c r="Z38" i="10"/>
  <c r="Z33" i="9"/>
  <c r="Z34" i="10"/>
  <c r="Z25" i="9"/>
  <c r="Z21" i="10"/>
  <c r="Z12" i="9"/>
  <c r="V7" i="9"/>
  <c r="D36" i="10"/>
  <c r="D34" i="10"/>
  <c r="O16" i="9"/>
  <c r="Z49" i="9"/>
  <c r="Z48" i="10"/>
  <c r="Z47" i="10"/>
  <c r="Z45" i="9"/>
  <c r="Z41" i="9"/>
  <c r="Z42" i="10"/>
  <c r="Z36" i="10"/>
  <c r="Z31" i="10"/>
  <c r="Z27" i="9"/>
  <c r="Z26" i="9"/>
  <c r="Z23" i="10"/>
  <c r="Z21" i="9"/>
  <c r="Z15" i="9"/>
  <c r="Z15" i="10"/>
  <c r="D9" i="9"/>
  <c r="M9" i="9"/>
  <c r="D29" i="9"/>
  <c r="V11" i="9"/>
  <c r="O18" i="10"/>
  <c r="Z42" i="9"/>
  <c r="Z34" i="9"/>
  <c r="Z29" i="9"/>
  <c r="Z25" i="10"/>
  <c r="Z16" i="10"/>
  <c r="D22" i="9"/>
  <c r="M22" i="9"/>
  <c r="Z49" i="10"/>
  <c r="Z37" i="9"/>
  <c r="Z28" i="9"/>
  <c r="Z30" i="10"/>
  <c r="Z29" i="10"/>
  <c r="Z28" i="10"/>
  <c r="V37" i="10"/>
  <c r="D15" i="9"/>
  <c r="M15" i="9"/>
  <c r="O9" i="9"/>
  <c r="D42" i="9"/>
  <c r="V36" i="10"/>
  <c r="D11" i="10"/>
  <c r="N11" i="10"/>
  <c r="V13" i="10"/>
  <c r="Z47" i="9"/>
  <c r="Z46" i="9"/>
  <c r="Z46" i="10"/>
  <c r="Z43" i="9"/>
  <c r="Z40" i="10"/>
  <c r="Z35" i="9"/>
  <c r="Z30" i="9"/>
  <c r="Z26" i="10"/>
  <c r="Z18" i="10"/>
  <c r="Z45" i="10"/>
  <c r="Z43" i="10"/>
  <c r="Z37" i="10"/>
  <c r="Z35" i="10"/>
  <c r="Z33" i="10"/>
  <c r="Z31" i="9"/>
  <c r="Z24" i="10"/>
  <c r="D10" i="10"/>
  <c r="D47" i="9"/>
  <c r="V15" i="9"/>
  <c r="D43" i="10"/>
  <c r="O8" i="10"/>
  <c r="V15" i="10"/>
  <c r="V18" i="9"/>
  <c r="D14" i="9"/>
  <c r="L14" i="9"/>
  <c r="V27" i="9"/>
  <c r="V9" i="10"/>
  <c r="V29" i="9"/>
  <c r="V24" i="9"/>
  <c r="D31" i="10"/>
  <c r="V23" i="9"/>
  <c r="O16" i="10"/>
  <c r="O15" i="9"/>
  <c r="V45" i="10"/>
  <c r="D10" i="9"/>
  <c r="D12" i="9"/>
  <c r="V30" i="9"/>
  <c r="D31" i="9"/>
  <c r="D12" i="10"/>
  <c r="V34" i="9"/>
  <c r="D8" i="9"/>
  <c r="V25" i="9"/>
  <c r="O49" i="9"/>
  <c r="O5" i="9"/>
  <c r="O22" i="9"/>
  <c r="V13" i="9"/>
  <c r="D24" i="10"/>
  <c r="N24" i="10"/>
  <c r="V41" i="9"/>
  <c r="D19" i="9"/>
  <c r="M19" i="9"/>
  <c r="D35" i="10"/>
  <c r="D38" i="10"/>
  <c r="V14" i="10"/>
  <c r="V17" i="9"/>
  <c r="D19" i="10"/>
  <c r="N19" i="10"/>
  <c r="V40" i="10"/>
  <c r="D44" i="9"/>
  <c r="D8" i="10"/>
  <c r="V45" i="9"/>
  <c r="V8" i="10"/>
  <c r="D30" i="10"/>
  <c r="D25" i="9"/>
  <c r="V25" i="10"/>
  <c r="D16" i="9"/>
  <c r="L16" i="9"/>
  <c r="V43" i="9"/>
  <c r="D20" i="10"/>
  <c r="O21" i="9"/>
  <c r="Z19" i="9"/>
  <c r="Z16" i="9"/>
  <c r="Z14" i="10"/>
  <c r="Z12" i="10"/>
  <c r="V34" i="10"/>
  <c r="D26" i="10"/>
  <c r="L26" i="10"/>
  <c r="V42" i="10"/>
  <c r="O11" i="9"/>
  <c r="V46" i="10"/>
  <c r="V39" i="9"/>
  <c r="D40" i="10"/>
  <c r="L22" i="9"/>
  <c r="O17" i="9"/>
  <c r="B15" i="4"/>
  <c r="O14" i="10"/>
  <c r="D11" i="9"/>
  <c r="M11" i="9"/>
  <c r="V47" i="10"/>
  <c r="D46" i="9"/>
  <c r="V36" i="9"/>
  <c r="D18" i="10"/>
  <c r="N18" i="10"/>
  <c r="D37" i="9"/>
  <c r="V41" i="10"/>
  <c r="V11" i="10"/>
  <c r="D5" i="9"/>
  <c r="N5" i="9"/>
  <c r="V18" i="10"/>
  <c r="V35" i="10"/>
  <c r="V43" i="10"/>
  <c r="V28" i="9"/>
  <c r="V44" i="9"/>
  <c r="V8" i="9"/>
  <c r="V6" i="10"/>
  <c r="V6" i="9"/>
  <c r="V21" i="10"/>
  <c r="V22" i="9"/>
  <c r="D39" i="9"/>
  <c r="O20" i="10"/>
  <c r="O10" i="9"/>
  <c r="Z22" i="9"/>
  <c r="Z20" i="9"/>
  <c r="Z17" i="9"/>
  <c r="Z14" i="9"/>
  <c r="Z6" i="10"/>
  <c r="D23" i="10"/>
  <c r="N23" i="10"/>
  <c r="V38" i="10"/>
  <c r="V16" i="9"/>
  <c r="O9" i="10"/>
  <c r="O6" i="9"/>
  <c r="O21" i="10"/>
  <c r="D32" i="9"/>
  <c r="D48" i="10"/>
  <c r="L48" i="10"/>
  <c r="V24" i="10"/>
  <c r="V22" i="10"/>
  <c r="D18" i="9"/>
  <c r="L18" i="9"/>
  <c r="V48" i="10"/>
  <c r="D24" i="9"/>
  <c r="M24" i="9"/>
  <c r="D47" i="10"/>
  <c r="V20" i="10"/>
  <c r="D7" i="9"/>
  <c r="V21" i="9"/>
  <c r="D26" i="9"/>
  <c r="V19" i="9"/>
  <c r="D27" i="9"/>
  <c r="D41" i="10"/>
  <c r="V32" i="10"/>
  <c r="D38" i="9"/>
  <c r="D27" i="10"/>
  <c r="D49" i="10"/>
  <c r="O26" i="10"/>
  <c r="O24" i="9"/>
  <c r="O13" i="9"/>
  <c r="O23" i="9"/>
  <c r="O18" i="9"/>
  <c r="Z13" i="9"/>
  <c r="Z10" i="9"/>
  <c r="V28" i="10"/>
  <c r="V49" i="9"/>
  <c r="V17" i="10"/>
  <c r="D13" i="9"/>
  <c r="D42" i="10"/>
  <c r="V33" i="9"/>
  <c r="O12" i="10"/>
  <c r="O7" i="10"/>
  <c r="O7" i="9"/>
  <c r="V12" i="9"/>
  <c r="D23" i="9"/>
  <c r="L23" i="9"/>
  <c r="V37" i="9"/>
  <c r="V31" i="10"/>
  <c r="D22" i="10"/>
  <c r="D48" i="9"/>
  <c r="V12" i="10"/>
  <c r="V9" i="9"/>
  <c r="V10" i="10"/>
  <c r="V47" i="9"/>
  <c r="V48" i="9"/>
  <c r="V16" i="10"/>
  <c r="D40" i="9"/>
  <c r="D17" i="9"/>
  <c r="V10" i="9"/>
  <c r="V7" i="10"/>
  <c r="D20" i="9"/>
  <c r="D41" i="9"/>
  <c r="D37" i="10"/>
  <c r="O48" i="10"/>
  <c r="O5" i="10"/>
  <c r="Z22" i="10"/>
  <c r="D35" i="9"/>
  <c r="V14" i="9"/>
  <c r="O22" i="10"/>
  <c r="O11" i="10"/>
  <c r="V5" i="10"/>
  <c r="O19" i="10"/>
  <c r="O24" i="10"/>
  <c r="O20" i="9"/>
  <c r="V32" i="9"/>
  <c r="D46" i="10"/>
  <c r="V31" i="9"/>
  <c r="D6" i="10"/>
  <c r="V39" i="10"/>
  <c r="V49" i="10"/>
  <c r="V40" i="9"/>
  <c r="D49" i="9"/>
  <c r="V46" i="9"/>
  <c r="D30" i="9"/>
  <c r="D45" i="9"/>
  <c r="D5" i="10"/>
  <c r="N5" i="10"/>
  <c r="D21" i="9"/>
  <c r="D17" i="10"/>
  <c r="D36" i="9"/>
  <c r="V44" i="10"/>
  <c r="V26" i="10"/>
  <c r="D14" i="10"/>
  <c r="V19" i="10"/>
  <c r="O25" i="10"/>
  <c r="O49" i="10"/>
  <c r="O13" i="10"/>
  <c r="Z18" i="9"/>
  <c r="Z19" i="10"/>
  <c r="Z17" i="10"/>
  <c r="Z13" i="10"/>
  <c r="Z11" i="10"/>
  <c r="Z6" i="9"/>
  <c r="N22" i="9"/>
  <c r="L19" i="9"/>
  <c r="W5" i="10"/>
  <c r="L24" i="9"/>
  <c r="D32" i="10"/>
  <c r="D33" i="9"/>
  <c r="V30" i="10"/>
  <c r="D16" i="10"/>
  <c r="M16" i="10"/>
  <c r="D44" i="10"/>
  <c r="V29" i="10"/>
  <c r="D15" i="10"/>
  <c r="D7" i="10"/>
  <c r="M7" i="10"/>
  <c r="D9" i="10"/>
  <c r="M9" i="10"/>
  <c r="D43" i="9"/>
  <c r="D25" i="10"/>
  <c r="V35" i="9"/>
  <c r="D28" i="9"/>
  <c r="D13" i="10"/>
  <c r="D6" i="9"/>
  <c r="M6" i="9"/>
  <c r="N15" i="9"/>
  <c r="L15" i="9"/>
  <c r="N19" i="9"/>
  <c r="V33" i="10"/>
  <c r="V38" i="9"/>
  <c r="V26" i="9"/>
  <c r="D21" i="10"/>
  <c r="V20" i="9"/>
  <c r="V27" i="10"/>
  <c r="D33" i="10"/>
  <c r="M26" i="10"/>
  <c r="N24" i="9"/>
  <c r="N26" i="10"/>
  <c r="L21" i="9"/>
  <c r="M13" i="10"/>
  <c r="M48" i="9"/>
  <c r="N20" i="9"/>
  <c r="M18" i="10"/>
  <c r="L18" i="10"/>
  <c r="N8" i="9"/>
  <c r="M8" i="9"/>
  <c r="L8" i="9"/>
  <c r="L10" i="9"/>
  <c r="N10" i="9"/>
  <c r="N12" i="9"/>
  <c r="L12" i="9"/>
  <c r="M12" i="9"/>
  <c r="M10" i="9"/>
  <c r="Z9" i="9"/>
  <c r="Z5" i="10"/>
  <c r="Z10" i="10"/>
  <c r="Z5" i="9"/>
  <c r="Z8" i="10"/>
  <c r="Z7" i="9"/>
  <c r="O48" i="9"/>
  <c r="O15" i="10"/>
  <c r="Z8" i="9"/>
  <c r="L9" i="9"/>
  <c r="M14" i="9"/>
  <c r="N14" i="9"/>
  <c r="N9" i="9"/>
  <c r="M5" i="10"/>
  <c r="L19" i="10"/>
  <c r="L7" i="10"/>
  <c r="L11" i="10"/>
  <c r="M16" i="9"/>
  <c r="N11" i="9"/>
  <c r="L11" i="9"/>
  <c r="N7" i="10"/>
  <c r="M48" i="10"/>
  <c r="M19" i="10"/>
  <c r="M11" i="10"/>
  <c r="L6" i="10"/>
  <c r="N6" i="10"/>
  <c r="M6" i="10"/>
  <c r="L22" i="10"/>
  <c r="N22" i="10"/>
  <c r="N16" i="9"/>
  <c r="L5" i="10"/>
  <c r="L26" i="9"/>
  <c r="M26" i="9"/>
  <c r="N26" i="9"/>
  <c r="N20" i="10"/>
  <c r="M20" i="10"/>
  <c r="L20" i="10"/>
  <c r="M8" i="10"/>
  <c r="N8" i="10"/>
  <c r="L8" i="10"/>
  <c r="N10" i="10"/>
  <c r="M10" i="10"/>
  <c r="L10" i="10"/>
  <c r="M18" i="9"/>
  <c r="N18" i="9"/>
  <c r="N48" i="10"/>
  <c r="M14" i="10"/>
  <c r="L14" i="10"/>
  <c r="N14" i="10"/>
  <c r="L49" i="10"/>
  <c r="M49" i="10"/>
  <c r="N49" i="10"/>
  <c r="M5" i="9"/>
  <c r="L5" i="9"/>
  <c r="N13" i="9"/>
  <c r="L13" i="9"/>
  <c r="M13" i="9"/>
  <c r="N7" i="9"/>
  <c r="L7" i="9"/>
  <c r="M7" i="9"/>
  <c r="L49" i="9"/>
  <c r="N49" i="9"/>
  <c r="M49" i="9"/>
  <c r="M20" i="9"/>
  <c r="L20" i="9"/>
  <c r="C15" i="4"/>
  <c r="E30" i="10"/>
  <c r="X25" i="9"/>
  <c r="X34" i="10"/>
  <c r="E7" i="10"/>
  <c r="X47" i="9"/>
  <c r="E28" i="9"/>
  <c r="E8" i="9"/>
  <c r="E47" i="10"/>
  <c r="E44" i="10"/>
  <c r="E7" i="9"/>
  <c r="E6" i="9"/>
  <c r="E24" i="9"/>
  <c r="X11" i="10"/>
  <c r="X45" i="9"/>
  <c r="E36" i="9"/>
  <c r="M22" i="10"/>
  <c r="N25" i="9"/>
  <c r="M25" i="9"/>
  <c r="L25" i="9"/>
  <c r="L24" i="10"/>
  <c r="M24" i="10"/>
  <c r="M17" i="10"/>
  <c r="L17" i="10"/>
  <c r="N17" i="10"/>
  <c r="M23" i="9"/>
  <c r="N23" i="9"/>
  <c r="M23" i="10"/>
  <c r="L23" i="10"/>
  <c r="L12" i="10"/>
  <c r="N12" i="10"/>
  <c r="M12" i="10"/>
  <c r="M21" i="9"/>
  <c r="N21" i="9"/>
  <c r="L17" i="9"/>
  <c r="N17" i="9"/>
  <c r="M17" i="9"/>
  <c r="L48" i="9"/>
  <c r="N48" i="9"/>
  <c r="N6" i="9"/>
  <c r="L6" i="9"/>
  <c r="N15" i="10"/>
  <c r="L15" i="10"/>
  <c r="M15" i="10"/>
  <c r="N13" i="10"/>
  <c r="L13" i="10"/>
  <c r="N9" i="10"/>
  <c r="L9" i="10"/>
  <c r="N21" i="10"/>
  <c r="M21" i="10"/>
  <c r="L21" i="10"/>
  <c r="L16" i="10"/>
  <c r="N16" i="10"/>
  <c r="M25" i="10"/>
  <c r="N25" i="10"/>
  <c r="L25" i="10"/>
  <c r="B5" i="3"/>
  <c r="J6" i="9"/>
  <c r="C5" i="3"/>
  <c r="X11" i="9"/>
  <c r="E11" i="9"/>
  <c r="E5" i="10"/>
  <c r="E12" i="10"/>
  <c r="E43" i="9"/>
  <c r="X17" i="10"/>
  <c r="X39" i="10"/>
  <c r="X14" i="9"/>
  <c r="AA14" i="9"/>
  <c r="X46" i="9"/>
  <c r="X7" i="9"/>
  <c r="E22" i="9"/>
  <c r="E13" i="10"/>
  <c r="X44" i="10"/>
  <c r="E47" i="9"/>
  <c r="E5" i="9"/>
  <c r="X25" i="10"/>
  <c r="X12" i="9"/>
  <c r="AA12" i="9"/>
  <c r="X32" i="10"/>
  <c r="E38" i="10"/>
  <c r="E40" i="10"/>
  <c r="X38" i="9"/>
  <c r="E39" i="9"/>
  <c r="X21" i="10"/>
  <c r="AA21" i="10"/>
  <c r="X30" i="9"/>
  <c r="E35" i="10"/>
  <c r="E16" i="10"/>
  <c r="E12" i="9"/>
  <c r="E46" i="10"/>
  <c r="E32" i="9"/>
  <c r="X43" i="9"/>
  <c r="X41" i="9"/>
  <c r="X42" i="9"/>
  <c r="E17" i="9"/>
  <c r="X8" i="10"/>
  <c r="E21" i="9"/>
  <c r="X27" i="10"/>
  <c r="E15" i="10"/>
  <c r="E40" i="9"/>
  <c r="E9" i="9"/>
  <c r="E33" i="9"/>
  <c r="X16" i="9"/>
  <c r="AA16" i="9"/>
  <c r="E26" i="9"/>
  <c r="X15" i="9"/>
  <c r="E46" i="9"/>
  <c r="E27" i="10"/>
  <c r="X5" i="9"/>
  <c r="E49" i="10"/>
  <c r="E20" i="10"/>
  <c r="X37" i="10"/>
  <c r="X9" i="10"/>
  <c r="X19" i="10"/>
  <c r="X13" i="10"/>
  <c r="X43" i="10"/>
  <c r="E49" i="9"/>
  <c r="E9" i="10"/>
  <c r="X37" i="9"/>
  <c r="E33" i="10"/>
  <c r="AD21" i="10"/>
  <c r="E25" i="9"/>
  <c r="X6" i="9"/>
  <c r="X35" i="10"/>
  <c r="X15" i="10"/>
  <c r="X32" i="9"/>
  <c r="E13" i="9"/>
  <c r="E38" i="9"/>
  <c r="X19" i="9"/>
  <c r="X14" i="10"/>
  <c r="X20" i="10"/>
  <c r="E37" i="9"/>
  <c r="X26" i="9"/>
  <c r="E32" i="10"/>
  <c r="E28" i="10"/>
  <c r="X24" i="10"/>
  <c r="E11" i="10"/>
  <c r="E48" i="9"/>
  <c r="E29" i="9"/>
  <c r="E45" i="10"/>
  <c r="E19" i="9"/>
  <c r="X5" i="10"/>
  <c r="E41" i="9"/>
  <c r="E27" i="9"/>
  <c r="X9" i="9"/>
  <c r="AD9" i="9"/>
  <c r="X45" i="10"/>
  <c r="X36" i="9"/>
  <c r="X30" i="10"/>
  <c r="X33" i="10"/>
  <c r="E26" i="10"/>
  <c r="X6" i="10"/>
  <c r="X18" i="9"/>
  <c r="E10" i="10"/>
  <c r="X42" i="10"/>
  <c r="AD42" i="10"/>
  <c r="X40" i="9"/>
  <c r="X22" i="10"/>
  <c r="AD22" i="10"/>
  <c r="X23" i="9"/>
  <c r="X41" i="10"/>
  <c r="X27" i="9"/>
  <c r="E29" i="10"/>
  <c r="X47" i="10"/>
  <c r="E45" i="9"/>
  <c r="E22" i="10"/>
  <c r="E8" i="10"/>
  <c r="E14" i="9"/>
  <c r="X8" i="9"/>
  <c r="X40" i="10"/>
  <c r="X46" i="10"/>
  <c r="X29" i="9"/>
  <c r="X31" i="9"/>
  <c r="X21" i="9"/>
  <c r="E17" i="10"/>
  <c r="E23" i="9"/>
  <c r="E42" i="10"/>
  <c r="X16" i="10"/>
  <c r="E34" i="9"/>
  <c r="X39" i="9"/>
  <c r="X28" i="10"/>
  <c r="E18" i="10"/>
  <c r="E43" i="10"/>
  <c r="X10" i="9"/>
  <c r="E44" i="9"/>
  <c r="X31" i="10"/>
  <c r="E21" i="10"/>
  <c r="E15" i="9"/>
  <c r="X23" i="10"/>
  <c r="X34" i="9"/>
  <c r="E48" i="10"/>
  <c r="X18" i="10"/>
  <c r="E23" i="10"/>
  <c r="X28" i="9"/>
  <c r="X35" i="9"/>
  <c r="X10" i="10"/>
  <c r="E6" i="10"/>
  <c r="E20" i="9"/>
  <c r="E34" i="10"/>
  <c r="E36" i="10"/>
  <c r="E19" i="10"/>
  <c r="E37" i="10"/>
  <c r="E10" i="9"/>
  <c r="E42" i="9"/>
  <c r="E31" i="9"/>
  <c r="X38" i="10"/>
  <c r="X7" i="10"/>
  <c r="E16" i="9"/>
  <c r="E30" i="9"/>
  <c r="E14" i="10"/>
  <c r="X33" i="9"/>
  <c r="X13" i="9"/>
  <c r="E24" i="10"/>
  <c r="E39" i="10"/>
  <c r="E25" i="10"/>
  <c r="X12" i="10"/>
  <c r="AD12" i="10"/>
  <c r="X20" i="9"/>
  <c r="X29" i="10"/>
  <c r="E41" i="10"/>
  <c r="X22" i="9"/>
  <c r="X44" i="9"/>
  <c r="E35" i="9"/>
  <c r="E31" i="10"/>
  <c r="X24" i="9"/>
  <c r="X36" i="10"/>
  <c r="X26" i="10"/>
  <c r="E18" i="9"/>
  <c r="X17" i="9"/>
  <c r="C6" i="3"/>
  <c r="B6" i="3"/>
  <c r="AA15" i="10"/>
  <c r="C7" i="3"/>
  <c r="C8" i="3"/>
  <c r="AD36" i="9"/>
  <c r="AD18" i="10"/>
  <c r="AA15" i="9"/>
  <c r="AD29" i="9"/>
  <c r="AD5" i="10"/>
  <c r="AA18" i="10"/>
  <c r="AD17" i="10"/>
  <c r="AA46" i="10"/>
  <c r="AD33" i="10"/>
  <c r="AD23" i="9"/>
  <c r="AA47" i="10"/>
  <c r="AA22" i="10"/>
  <c r="AA39" i="10"/>
  <c r="AD44" i="10"/>
  <c r="AA5" i="10"/>
  <c r="AA26" i="10"/>
  <c r="AD24" i="10"/>
  <c r="G9" i="10"/>
  <c r="J8" i="10"/>
  <c r="AA36" i="9"/>
  <c r="J7" i="9"/>
  <c r="D6" i="3"/>
  <c r="AD15" i="9"/>
  <c r="AA31" i="9"/>
  <c r="AA23" i="9"/>
  <c r="AD20" i="9"/>
  <c r="AA38" i="9"/>
  <c r="AD31" i="9"/>
  <c r="AD12" i="9"/>
  <c r="AD6" i="9"/>
  <c r="AA40" i="9"/>
  <c r="AA24" i="9"/>
  <c r="AA8" i="9"/>
  <c r="AD13" i="9"/>
  <c r="AD28" i="9"/>
  <c r="AD13" i="10"/>
  <c r="AD32" i="9"/>
  <c r="AA13" i="9"/>
  <c r="AD8" i="9"/>
  <c r="AA44" i="10"/>
  <c r="AD37" i="9"/>
  <c r="AD20" i="10"/>
  <c r="AA11" i="9"/>
  <c r="AA11" i="10"/>
  <c r="AD18" i="9"/>
  <c r="AA10" i="9"/>
  <c r="AA6" i="9"/>
  <c r="AA24" i="10"/>
  <c r="AD40" i="9"/>
  <c r="AD40" i="10"/>
  <c r="AA29" i="9"/>
  <c r="AD24" i="9"/>
  <c r="AD14" i="9"/>
  <c r="AA30" i="10"/>
  <c r="AA32" i="9"/>
  <c r="AA13" i="10"/>
  <c r="AD11" i="10"/>
  <c r="AA17" i="10"/>
  <c r="AA37" i="10"/>
  <c r="AD39" i="10"/>
  <c r="AA39" i="9"/>
  <c r="AA21" i="9"/>
  <c r="AD35" i="10"/>
  <c r="AD5" i="9"/>
  <c r="AA45" i="9"/>
  <c r="AA45" i="10"/>
  <c r="AD38" i="10"/>
  <c r="AD31" i="10"/>
  <c r="AD26" i="10"/>
  <c r="AA23" i="10"/>
  <c r="AD10" i="10"/>
  <c r="AD8" i="10"/>
  <c r="AD6" i="10"/>
  <c r="AD43" i="9"/>
  <c r="AA35" i="9"/>
  <c r="AA19" i="9"/>
  <c r="AD11" i="9"/>
  <c r="AA18" i="9"/>
  <c r="AA20" i="10"/>
  <c r="AD46" i="10"/>
  <c r="AD10" i="9"/>
  <c r="AD42" i="9"/>
  <c r="AA37" i="9"/>
  <c r="AD37" i="10"/>
  <c r="AD39" i="9"/>
  <c r="AA8" i="10"/>
  <c r="AD21" i="9"/>
  <c r="AA43" i="10"/>
  <c r="AD41" i="10"/>
  <c r="AA40" i="10"/>
  <c r="AD36" i="10"/>
  <c r="AA35" i="10"/>
  <c r="AD34" i="10"/>
  <c r="AD30" i="9"/>
  <c r="AA29" i="10"/>
  <c r="AA28" i="10"/>
  <c r="AD25" i="10"/>
  <c r="AD22" i="9"/>
  <c r="AA19" i="10"/>
  <c r="AD16" i="9"/>
  <c r="AA14" i="10"/>
  <c r="AA12" i="10"/>
  <c r="AA10" i="10"/>
  <c r="AA9" i="10"/>
  <c r="AA7" i="10"/>
  <c r="AA41" i="9"/>
  <c r="AA33" i="9"/>
  <c r="AD25" i="9"/>
  <c r="AA17" i="9"/>
  <c r="AA9" i="9"/>
  <c r="AA6" i="10"/>
  <c r="AD19" i="9"/>
  <c r="AA47" i="9"/>
  <c r="AA7" i="9"/>
  <c r="AA46" i="9"/>
  <c r="AD34" i="9"/>
  <c r="AA44" i="9"/>
  <c r="AD26" i="9"/>
  <c r="AD38" i="9"/>
  <c r="AA32" i="10"/>
  <c r="AD35" i="9"/>
  <c r="AD23" i="10"/>
  <c r="AA5" i="9"/>
  <c r="AA43" i="9"/>
  <c r="AA31" i="10"/>
  <c r="AA38" i="10"/>
  <c r="AD45" i="9"/>
  <c r="J8" i="9"/>
  <c r="D7" i="3"/>
  <c r="AD33" i="9"/>
  <c r="AA16" i="10"/>
  <c r="AD43" i="10"/>
  <c r="AA28" i="9"/>
  <c r="AD41" i="9"/>
  <c r="AA42" i="9"/>
  <c r="AD7" i="10"/>
  <c r="AA26" i="9"/>
  <c r="AD19" i="10"/>
  <c r="AD32" i="10"/>
  <c r="AA34" i="10"/>
  <c r="AD47" i="9"/>
  <c r="AA30" i="9"/>
  <c r="AD7" i="9"/>
  <c r="AA41" i="10"/>
  <c r="AA20" i="9"/>
  <c r="AD17" i="9"/>
  <c r="AA22" i="9"/>
  <c r="AD44" i="9"/>
  <c r="AA25" i="10"/>
  <c r="AA25" i="9"/>
  <c r="AD46" i="9"/>
  <c r="AA36" i="10"/>
  <c r="AD29" i="10"/>
  <c r="AA34" i="9"/>
  <c r="AD14" i="10"/>
  <c r="AD28" i="10"/>
  <c r="I51" i="10"/>
  <c r="N27" i="10"/>
  <c r="J9" i="10"/>
  <c r="G10" i="10"/>
  <c r="B7" i="3"/>
  <c r="C9" i="3"/>
  <c r="J9" i="9"/>
  <c r="D8" i="3"/>
  <c r="G28" i="3"/>
  <c r="N28" i="10"/>
  <c r="G11" i="10"/>
  <c r="J10" i="10"/>
  <c r="B8" i="3"/>
  <c r="C10" i="3"/>
  <c r="D9" i="3"/>
  <c r="J10" i="9"/>
  <c r="G29" i="3"/>
  <c r="N29" i="10"/>
  <c r="J11" i="10"/>
  <c r="G12" i="10"/>
  <c r="B9" i="3"/>
  <c r="C11" i="3"/>
  <c r="D10" i="3"/>
  <c r="J11" i="9"/>
  <c r="G30" i="3"/>
  <c r="N30" i="10"/>
  <c r="G13" i="10"/>
  <c r="J12" i="10"/>
  <c r="B10" i="3"/>
  <c r="C12" i="3"/>
  <c r="G31" i="3"/>
  <c r="N31" i="10"/>
  <c r="D11" i="3"/>
  <c r="J13" i="10"/>
  <c r="G14" i="10"/>
  <c r="B11" i="3"/>
  <c r="J12" i="9"/>
  <c r="C13" i="3"/>
  <c r="N32" i="10"/>
  <c r="G32" i="3"/>
  <c r="D12" i="3"/>
  <c r="J13" i="9"/>
  <c r="G15" i="10"/>
  <c r="J14" i="10"/>
  <c r="B12" i="3"/>
  <c r="C14" i="3"/>
  <c r="D13" i="3"/>
  <c r="J14" i="9"/>
  <c r="G33" i="3"/>
  <c r="N33" i="10"/>
  <c r="J15" i="10"/>
  <c r="G16" i="10"/>
  <c r="B13" i="3"/>
  <c r="C15" i="3"/>
  <c r="N34" i="10"/>
  <c r="G34" i="3"/>
  <c r="D14" i="3"/>
  <c r="G17" i="10"/>
  <c r="J16" i="10"/>
  <c r="B14" i="3"/>
  <c r="J15" i="9"/>
  <c r="C16" i="3"/>
  <c r="N35" i="10"/>
  <c r="G35" i="3"/>
  <c r="D15" i="3"/>
  <c r="J16" i="9"/>
  <c r="J17" i="10"/>
  <c r="G18" i="10"/>
  <c r="B15" i="3"/>
  <c r="C17" i="3"/>
  <c r="D16" i="3"/>
  <c r="J17" i="9"/>
  <c r="N36" i="10"/>
  <c r="G36" i="3"/>
  <c r="G19" i="10"/>
  <c r="J18" i="10"/>
  <c r="B16" i="3"/>
  <c r="C18" i="3"/>
  <c r="H51" i="9"/>
  <c r="M27" i="9"/>
  <c r="N37" i="10"/>
  <c r="G37" i="3"/>
  <c r="D17" i="3"/>
  <c r="J18" i="9"/>
  <c r="J19" i="10"/>
  <c r="G20" i="10"/>
  <c r="B17" i="3"/>
  <c r="C28" i="3"/>
  <c r="M28" i="9"/>
  <c r="G38" i="3"/>
  <c r="N38" i="10"/>
  <c r="D18" i="3"/>
  <c r="J19" i="9"/>
  <c r="J20" i="10"/>
  <c r="G51" i="10"/>
  <c r="L27" i="10"/>
  <c r="E28" i="3"/>
  <c r="B18" i="3"/>
  <c r="G51" i="9"/>
  <c r="L27" i="9"/>
  <c r="B28" i="3"/>
  <c r="M29" i="9"/>
  <c r="C29" i="3"/>
  <c r="G39" i="3"/>
  <c r="N39" i="10"/>
  <c r="I51" i="9"/>
  <c r="J20" i="9"/>
  <c r="L28" i="10"/>
  <c r="L28" i="9"/>
  <c r="L29" i="9"/>
  <c r="M30" i="9"/>
  <c r="C30" i="3"/>
  <c r="N27" i="9"/>
  <c r="J51" i="9"/>
  <c r="G40" i="3"/>
  <c r="N40" i="10"/>
  <c r="H51" i="10"/>
  <c r="E29" i="3"/>
  <c r="L29" i="10"/>
  <c r="B29" i="3"/>
  <c r="C31" i="3"/>
  <c r="M31" i="9"/>
  <c r="M27" i="10"/>
  <c r="J51" i="10"/>
  <c r="N41" i="10"/>
  <c r="G41" i="3"/>
  <c r="E30" i="3"/>
  <c r="L30" i="10"/>
  <c r="L30" i="9"/>
  <c r="B30" i="3"/>
  <c r="D28" i="3"/>
  <c r="N28" i="9"/>
  <c r="O27" i="9"/>
  <c r="U27" i="9"/>
  <c r="C32" i="3"/>
  <c r="M32" i="9"/>
  <c r="E31" i="3"/>
  <c r="L31" i="10"/>
  <c r="B31" i="3"/>
  <c r="L31" i="9"/>
  <c r="F28" i="3"/>
  <c r="M28" i="10"/>
  <c r="O27" i="10"/>
  <c r="U27" i="10"/>
  <c r="AD27" i="9"/>
  <c r="AA27" i="9"/>
  <c r="N29" i="9"/>
  <c r="D29" i="3"/>
  <c r="O28" i="9"/>
  <c r="G42" i="3"/>
  <c r="N42" i="10"/>
  <c r="C33" i="3"/>
  <c r="M33" i="9"/>
  <c r="N43" i="10"/>
  <c r="G43" i="3"/>
  <c r="B32" i="3"/>
  <c r="L32" i="9"/>
  <c r="N30" i="9"/>
  <c r="D30" i="3"/>
  <c r="O29" i="9"/>
  <c r="L32" i="10"/>
  <c r="E32" i="3"/>
  <c r="F29" i="3"/>
  <c r="M29" i="10"/>
  <c r="O28" i="10"/>
  <c r="AD27" i="10"/>
  <c r="AA27" i="10"/>
  <c r="C34" i="3"/>
  <c r="M34" i="9"/>
  <c r="G44" i="3"/>
  <c r="N44" i="10"/>
  <c r="E33" i="3"/>
  <c r="L33" i="10"/>
  <c r="B33" i="3"/>
  <c r="L33" i="9"/>
  <c r="D31" i="3"/>
  <c r="N31" i="9"/>
  <c r="O30" i="9"/>
  <c r="F30" i="3"/>
  <c r="M30" i="10"/>
  <c r="O29" i="10"/>
  <c r="C35" i="3"/>
  <c r="M35" i="9"/>
  <c r="M31" i="10"/>
  <c r="F31" i="3"/>
  <c r="O30" i="10"/>
  <c r="L34" i="10"/>
  <c r="E34" i="3"/>
  <c r="B34" i="3"/>
  <c r="L34" i="9"/>
  <c r="N32" i="9"/>
  <c r="D32" i="3"/>
  <c r="O31" i="9"/>
  <c r="G45" i="3"/>
  <c r="N45" i="10"/>
  <c r="C36" i="3"/>
  <c r="M36" i="9"/>
  <c r="N46" i="10"/>
  <c r="G46" i="3"/>
  <c r="F32" i="3"/>
  <c r="M32" i="10"/>
  <c r="O31" i="10"/>
  <c r="E35" i="3"/>
  <c r="L35" i="10"/>
  <c r="D33" i="3"/>
  <c r="N33" i="9"/>
  <c r="O32" i="9"/>
  <c r="B35" i="3"/>
  <c r="L35" i="9"/>
  <c r="C37" i="3"/>
  <c r="M37" i="9"/>
  <c r="G47" i="3"/>
  <c r="N47" i="10"/>
  <c r="M33" i="10"/>
  <c r="F33" i="3"/>
  <c r="O32" i="10"/>
  <c r="N34" i="9"/>
  <c r="D34" i="3"/>
  <c r="O33" i="9"/>
  <c r="L36" i="9"/>
  <c r="B36" i="3"/>
  <c r="L36" i="10"/>
  <c r="E36" i="3"/>
  <c r="C38" i="3"/>
  <c r="M38" i="9"/>
  <c r="N35" i="9"/>
  <c r="D35" i="3"/>
  <c r="O34" i="9"/>
  <c r="L37" i="9"/>
  <c r="B37" i="3"/>
  <c r="L37" i="10"/>
  <c r="E37" i="3"/>
  <c r="F34" i="3"/>
  <c r="M34" i="10"/>
  <c r="O33" i="10"/>
  <c r="G48" i="3"/>
  <c r="C39" i="3"/>
  <c r="M39" i="9"/>
  <c r="D36" i="3"/>
  <c r="N36" i="9"/>
  <c r="O35" i="9"/>
  <c r="E38" i="3"/>
  <c r="L38" i="10"/>
  <c r="L38" i="9"/>
  <c r="B38" i="3"/>
  <c r="F35" i="3"/>
  <c r="M35" i="10"/>
  <c r="O34" i="10"/>
  <c r="M40" i="9"/>
  <c r="C40" i="3"/>
  <c r="B39" i="3"/>
  <c r="L39" i="9"/>
  <c r="E39" i="3"/>
  <c r="L39" i="10"/>
  <c r="F36" i="3"/>
  <c r="M36" i="10"/>
  <c r="O35" i="10"/>
  <c r="N37" i="9"/>
  <c r="D37" i="3"/>
  <c r="O36" i="9"/>
  <c r="C41" i="3"/>
  <c r="M41" i="9"/>
  <c r="L40" i="9"/>
  <c r="B40" i="3"/>
  <c r="F37" i="3"/>
  <c r="M37" i="10"/>
  <c r="O36" i="10"/>
  <c r="E40" i="3"/>
  <c r="L40" i="10"/>
  <c r="N38" i="9"/>
  <c r="D38" i="3"/>
  <c r="O37" i="9"/>
  <c r="C42" i="3"/>
  <c r="M42" i="9"/>
  <c r="M38" i="10"/>
  <c r="F38" i="3"/>
  <c r="O37" i="10"/>
  <c r="D39" i="3"/>
  <c r="N39" i="9"/>
  <c r="O38" i="9"/>
  <c r="L41" i="10"/>
  <c r="E41" i="3"/>
  <c r="B41" i="3"/>
  <c r="L41" i="9"/>
  <c r="M43" i="9"/>
  <c r="C43" i="3"/>
  <c r="F39" i="3"/>
  <c r="M39" i="10"/>
  <c r="O38" i="10"/>
  <c r="E42" i="3"/>
  <c r="L42" i="10"/>
  <c r="L42" i="9"/>
  <c r="B42" i="3"/>
  <c r="N40" i="9"/>
  <c r="D40" i="3"/>
  <c r="O39" i="9"/>
  <c r="M44" i="9"/>
  <c r="C44" i="3"/>
  <c r="L43" i="9"/>
  <c r="B43" i="3"/>
  <c r="L43" i="10"/>
  <c r="E43" i="3"/>
  <c r="F40" i="3"/>
  <c r="M40" i="10"/>
  <c r="O39" i="10"/>
  <c r="D41" i="3"/>
  <c r="N41" i="9"/>
  <c r="O40" i="9"/>
  <c r="C45" i="3"/>
  <c r="M45" i="9"/>
  <c r="B44" i="3"/>
  <c r="L44" i="9"/>
  <c r="N42" i="9"/>
  <c r="D42" i="3"/>
  <c r="O41" i="9"/>
  <c r="L44" i="10"/>
  <c r="E44" i="3"/>
  <c r="F41" i="3"/>
  <c r="M41" i="10"/>
  <c r="O40" i="10"/>
  <c r="M46" i="9"/>
  <c r="C46" i="3"/>
  <c r="E45" i="3"/>
  <c r="L45" i="10"/>
  <c r="D43" i="3"/>
  <c r="N43" i="9"/>
  <c r="O42" i="9"/>
  <c r="F42" i="3"/>
  <c r="M42" i="10"/>
  <c r="O41" i="10"/>
  <c r="B45" i="3"/>
  <c r="L45" i="9"/>
  <c r="M47" i="9"/>
  <c r="C48" i="3"/>
  <c r="C47" i="3"/>
  <c r="F43" i="3"/>
  <c r="M43" i="10"/>
  <c r="O42" i="10"/>
  <c r="N44" i="9"/>
  <c r="D44" i="3"/>
  <c r="O43" i="9"/>
  <c r="E46" i="3"/>
  <c r="L46" i="10"/>
  <c r="B46" i="3"/>
  <c r="L46" i="9"/>
  <c r="E47" i="3"/>
  <c r="L47" i="10"/>
  <c r="D45" i="3"/>
  <c r="N45" i="9"/>
  <c r="O44" i="9"/>
  <c r="M44" i="10"/>
  <c r="F44" i="3"/>
  <c r="O43" i="10"/>
  <c r="B47" i="3"/>
  <c r="L47" i="9"/>
  <c r="F45" i="3"/>
  <c r="M45" i="10"/>
  <c r="O44" i="10"/>
  <c r="N46" i="9"/>
  <c r="D46" i="3"/>
  <c r="O45" i="9"/>
  <c r="B48" i="3"/>
  <c r="E48" i="3"/>
  <c r="D47" i="3"/>
  <c r="N47" i="9"/>
  <c r="O46" i="9"/>
  <c r="F46" i="3"/>
  <c r="M46" i="10"/>
  <c r="O45" i="10"/>
  <c r="N51" i="9"/>
  <c r="D48" i="3"/>
  <c r="O47" i="9"/>
  <c r="X48" i="9"/>
  <c r="X49" i="9"/>
  <c r="F47" i="3"/>
  <c r="M47" i="10"/>
  <c r="O46" i="10"/>
  <c r="F48" i="3"/>
  <c r="X48" i="10"/>
  <c r="X49" i="10"/>
  <c r="O47" i="10"/>
  <c r="AD49" i="9"/>
  <c r="AA49" i="9"/>
  <c r="AA48" i="9"/>
  <c r="AA51" i="9"/>
  <c r="D60" i="9"/>
  <c r="AD48" i="9"/>
  <c r="AD51" i="9"/>
  <c r="D65" i="9"/>
  <c r="D67" i="9"/>
  <c r="E67" i="9"/>
  <c r="D62" i="9"/>
  <c r="E62" i="9"/>
  <c r="C55" i="3"/>
  <c r="AD48" i="10"/>
  <c r="AA48" i="10"/>
  <c r="AA49" i="10"/>
  <c r="AA51" i="10"/>
  <c r="D60" i="10"/>
  <c r="AD49" i="10"/>
  <c r="D62" i="10"/>
  <c r="D55" i="3"/>
  <c r="AD51" i="10"/>
  <c r="D65" i="10"/>
  <c r="D67" i="10"/>
</calcChain>
</file>

<file path=xl/sharedStrings.xml><?xml version="1.0" encoding="utf-8"?>
<sst xmlns="http://schemas.openxmlformats.org/spreadsheetml/2006/main" count="195" uniqueCount="104">
  <si>
    <t>Total</t>
  </si>
  <si>
    <t>per annum</t>
  </si>
  <si>
    <t>per day</t>
  </si>
  <si>
    <t>EXPENSES</t>
  </si>
  <si>
    <t>INPUTS</t>
  </si>
  <si>
    <t>INCOME</t>
  </si>
  <si>
    <t>Fixed cost per day $</t>
  </si>
  <si>
    <t>Scenario 1</t>
  </si>
  <si>
    <t>TRANSITION RATES</t>
  </si>
  <si>
    <t>PROFIT CRITERIA</t>
  </si>
  <si>
    <t>Scenario 2</t>
  </si>
  <si>
    <t>Additional profit</t>
  </si>
  <si>
    <t>Profit criterion</t>
  </si>
  <si>
    <t>p.d.</t>
  </si>
  <si>
    <t>p.a.</t>
  </si>
  <si>
    <t>Farmer A</t>
  </si>
  <si>
    <t>Red</t>
  </si>
  <si>
    <t>Green</t>
  </si>
  <si>
    <t>Black</t>
  </si>
  <si>
    <t>BAGS OF WOOL PRODUCED</t>
  </si>
  <si>
    <t>n/a</t>
  </si>
  <si>
    <t>Per felt sheet $</t>
  </si>
  <si>
    <t>Per bag of wool $</t>
  </si>
  <si>
    <t>Transport:</t>
  </si>
  <si>
    <t>$ per day</t>
  </si>
  <si>
    <t>Red felt sheets</t>
  </si>
  <si>
    <t>Green felt sheets</t>
  </si>
  <si>
    <t>Black felt sheets</t>
  </si>
  <si>
    <t>Red wool</t>
  </si>
  <si>
    <t>Green wool</t>
  </si>
  <si>
    <t>Black wool</t>
  </si>
  <si>
    <t>Processing cost at factory:</t>
  </si>
  <si>
    <t>During transportation from Factory to Market</t>
  </si>
  <si>
    <t>During transportation from Farmer to Factory</t>
  </si>
  <si>
    <t>Number of felt sheets produced per bag of wool</t>
  </si>
  <si>
    <t>Revenue per felt sheet at Market</t>
  </si>
  <si>
    <t>Payment to farmer per red/green bag of wool:</t>
  </si>
  <si>
    <t>(in $)</t>
  </si>
  <si>
    <t>Impact on</t>
  </si>
  <si>
    <t>Price</t>
  </si>
  <si>
    <t>TIMING</t>
  </si>
  <si>
    <t>Start</t>
  </si>
  <si>
    <t>Finish</t>
  </si>
  <si>
    <t>(In days)</t>
  </si>
  <si>
    <t>At the Factory</t>
  </si>
  <si>
    <t>From Factory to Market</t>
  </si>
  <si>
    <t>From Farmer to Factory</t>
  </si>
  <si>
    <t>Profit target (in $)</t>
  </si>
  <si>
    <t>FELT SHEET PROJECTIONS - SCENARIO 1</t>
  </si>
  <si>
    <t>Days elapsed</t>
  </si>
  <si>
    <t>Process stage</t>
  </si>
  <si>
    <t>To Factory</t>
  </si>
  <si>
    <t>At Factory</t>
  </si>
  <si>
    <t>From Factory</t>
  </si>
  <si>
    <t>Bags of wool</t>
  </si>
  <si>
    <t>Felt sheets</t>
  </si>
  <si>
    <t>Income (+ve amount) and Expenses (-ve amount)</t>
  </si>
  <si>
    <t>To Farmer</t>
  </si>
  <si>
    <t>At Market</t>
  </si>
  <si>
    <t>Initial</t>
  </si>
  <si>
    <t>Daily</t>
  </si>
  <si>
    <t>Discount</t>
  </si>
  <si>
    <t>Present</t>
  </si>
  <si>
    <t>Values</t>
  </si>
  <si>
    <t>Payment</t>
  </si>
  <si>
    <t>Revenue</t>
  </si>
  <si>
    <t>Farmer to Factory</t>
  </si>
  <si>
    <t>Factory to Market</t>
  </si>
  <si>
    <t>Summary</t>
  </si>
  <si>
    <t>Payment per bag of red wool</t>
  </si>
  <si>
    <t>Payment per bag of green wool</t>
  </si>
  <si>
    <t>Payment per bag of black wool</t>
  </si>
  <si>
    <t>Total profit</t>
  </si>
  <si>
    <t>Calculation of IRR:</t>
  </si>
  <si>
    <t>Internal Rate of Return (daily)</t>
  </si>
  <si>
    <t>Internal Rate of Return (annual)</t>
  </si>
  <si>
    <t>Factor at</t>
  </si>
  <si>
    <t>IRR</t>
  </si>
  <si>
    <t>Set D62 to zero by changing cell W1</t>
  </si>
  <si>
    <t>Set D67 to zero by changing cell D68</t>
  </si>
  <si>
    <t xml:space="preserve">  (loss due to Wool Eating Moth)</t>
  </si>
  <si>
    <t>Deterioration of felt sheets from Factory to Market</t>
  </si>
  <si>
    <t>Red - Scen1</t>
  </si>
  <si>
    <t>Green - Scen1</t>
  </si>
  <si>
    <t>Black - Scen1</t>
  </si>
  <si>
    <t>Red - Scen2</t>
  </si>
  <si>
    <t>Green - Scen2</t>
  </si>
  <si>
    <t>Black - Scen2</t>
  </si>
  <si>
    <t>Profit</t>
  </si>
  <si>
    <t>IRR (per annum)</t>
  </si>
  <si>
    <t>Profit and IRR results</t>
  </si>
  <si>
    <t>Days</t>
  </si>
  <si>
    <t>Red bags</t>
  </si>
  <si>
    <t>Green bags</t>
  </si>
  <si>
    <t>Black bags</t>
  </si>
  <si>
    <t>Deterioration of bags of wool from Farmer to Factory</t>
  </si>
  <si>
    <t xml:space="preserve">  (loss due to theft by rugby player)</t>
  </si>
  <si>
    <t>Scenario 1 (decrements)</t>
  </si>
  <si>
    <t>Scenario 2 (proportion)</t>
  </si>
  <si>
    <t>Total (i.e. profit) =</t>
  </si>
  <si>
    <t>Total bags of wool reaching factory =</t>
  </si>
  <si>
    <t>Number of bags</t>
  </si>
  <si>
    <t>eaten per day</t>
  </si>
  <si>
    <t>Internal Rate of Return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</si>
</sst>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00"/>
    <numFmt numFmtId="167" formatCode="0.0"/>
    <numFmt numFmtId="168" formatCode="_-* #,##0.000_-;\-* #,##0.000_-;_-* &quot;-&quot;??_-;_-@_-"/>
    <numFmt numFmtId="169" formatCode="0.000%"/>
    <numFmt numFmtId="170" formatCode="#,##0.00_ ;\-#,##0.00\ "/>
    <numFmt numFmtId="171" formatCode="#,##0_ ;\-#,##0\ "/>
    <numFmt numFmtId="172" formatCode="\+0%;\-0%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indexed="14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4"/>
      <name val="Arial"/>
      <family val="2"/>
    </font>
    <font>
      <b/>
      <sz val="12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12"/>
      <name val="Cambria"/>
      <family val="1"/>
      <scheme val="major"/>
    </font>
    <font>
      <b/>
      <sz val="14"/>
      <name val="Cambria"/>
      <family val="1"/>
      <scheme val="major"/>
    </font>
    <font>
      <sz val="10"/>
      <color theme="0" tint="-0.249977111117893"/>
      <name val="Cambria"/>
      <family val="1"/>
      <scheme val="major"/>
    </font>
    <font>
      <b/>
      <sz val="10"/>
      <color indexed="14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4" fillId="0" borderId="0" xfId="0" applyFont="1"/>
    <xf numFmtId="164" fontId="0" fillId="0" borderId="0" xfId="1" applyNumberFormat="1" applyFont="1"/>
    <xf numFmtId="43" fontId="0" fillId="0" borderId="0" xfId="0" applyNumberFormat="1"/>
    <xf numFmtId="164" fontId="0" fillId="0" borderId="0" xfId="0" applyNumberForma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64" fontId="7" fillId="0" borderId="0" xfId="0" applyNumberFormat="1" applyFont="1"/>
    <xf numFmtId="0" fontId="6" fillId="0" borderId="0" xfId="0" applyFont="1"/>
    <xf numFmtId="168" fontId="2" fillId="0" borderId="0" xfId="0" applyNumberFormat="1" applyFont="1"/>
    <xf numFmtId="165" fontId="2" fillId="0" borderId="0" xfId="2" applyNumberFormat="1" applyFont="1"/>
    <xf numFmtId="169" fontId="8" fillId="0" borderId="0" xfId="2" applyNumberFormat="1" applyFont="1"/>
    <xf numFmtId="0" fontId="9" fillId="0" borderId="0" xfId="0" applyFont="1"/>
    <xf numFmtId="0" fontId="10" fillId="0" borderId="0" xfId="0" applyFont="1"/>
    <xf numFmtId="0" fontId="11" fillId="0" borderId="1" xfId="0" applyFont="1" applyBorder="1"/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3" xfId="0" applyFont="1" applyBorder="1"/>
    <xf numFmtId="0" fontId="11" fillId="0" borderId="5" xfId="0" applyFont="1" applyBorder="1"/>
    <xf numFmtId="0" fontId="10" fillId="0" borderId="6" xfId="0" applyFont="1" applyBorder="1"/>
    <xf numFmtId="0" fontId="10" fillId="0" borderId="0" xfId="0" applyFont="1" applyBorder="1"/>
    <xf numFmtId="0" fontId="11" fillId="0" borderId="4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171" fontId="12" fillId="0" borderId="4" xfId="1" applyNumberFormat="1" applyFont="1" applyBorder="1" applyAlignment="1">
      <alignment horizontal="center"/>
    </xf>
    <xf numFmtId="167" fontId="12" fillId="0" borderId="0" xfId="1" applyNumberFormat="1" applyFont="1" applyBorder="1" applyAlignment="1">
      <alignment horizontal="center"/>
    </xf>
    <xf numFmtId="1" fontId="12" fillId="0" borderId="4" xfId="1" applyNumberFormat="1" applyFont="1" applyBorder="1" applyAlignment="1">
      <alignment horizontal="center"/>
    </xf>
    <xf numFmtId="0" fontId="10" fillId="0" borderId="7" xfId="0" applyFont="1" applyBorder="1"/>
    <xf numFmtId="171" fontId="12" fillId="0" borderId="8" xfId="1" applyNumberFormat="1" applyFont="1" applyBorder="1" applyAlignment="1">
      <alignment horizontal="center"/>
    </xf>
    <xf numFmtId="1" fontId="10" fillId="0" borderId="4" xfId="0" applyNumberFormat="1" applyFont="1" applyBorder="1"/>
    <xf numFmtId="171" fontId="12" fillId="0" borderId="7" xfId="1" applyNumberFormat="1" applyFont="1" applyBorder="1" applyAlignment="1">
      <alignment horizontal="center"/>
    </xf>
    <xf numFmtId="0" fontId="10" fillId="0" borderId="8" xfId="0" applyFont="1" applyBorder="1"/>
    <xf numFmtId="0" fontId="11" fillId="0" borderId="0" xfId="0" applyFont="1" applyBorder="1" applyAlignment="1">
      <alignment horizontal="center"/>
    </xf>
    <xf numFmtId="165" fontId="12" fillId="0" borderId="0" xfId="2" applyNumberFormat="1" applyFont="1" applyBorder="1"/>
    <xf numFmtId="0" fontId="10" fillId="0" borderId="3" xfId="0" quotePrefix="1" applyFont="1" applyBorder="1"/>
    <xf numFmtId="169" fontId="11" fillId="0" borderId="0" xfId="2" applyNumberFormat="1" applyFont="1" applyBorder="1"/>
    <xf numFmtId="170" fontId="12" fillId="0" borderId="0" xfId="1" applyNumberFormat="1" applyFont="1" applyBorder="1" applyAlignment="1">
      <alignment horizontal="center"/>
    </xf>
    <xf numFmtId="166" fontId="11" fillId="0" borderId="0" xfId="0" applyNumberFormat="1" applyFont="1" applyBorder="1"/>
    <xf numFmtId="170" fontId="12" fillId="0" borderId="4" xfId="1" applyNumberFormat="1" applyFont="1" applyBorder="1" applyAlignment="1">
      <alignment horizontal="center"/>
    </xf>
    <xf numFmtId="164" fontId="12" fillId="0" borderId="7" xfId="1" applyNumberFormat="1" applyFont="1" applyBorder="1"/>
    <xf numFmtId="170" fontId="12" fillId="0" borderId="7" xfId="1" applyNumberFormat="1" applyFont="1" applyBorder="1" applyAlignment="1">
      <alignment horizontal="center"/>
    </xf>
    <xf numFmtId="170" fontId="12" fillId="0" borderId="8" xfId="1" applyNumberFormat="1" applyFont="1" applyBorder="1" applyAlignment="1">
      <alignment horizontal="center"/>
    </xf>
    <xf numFmtId="0" fontId="11" fillId="0" borderId="6" xfId="0" applyFont="1" applyBorder="1"/>
    <xf numFmtId="165" fontId="12" fillId="0" borderId="2" xfId="2" applyNumberFormat="1" applyFont="1" applyBorder="1"/>
    <xf numFmtId="0" fontId="11" fillId="0" borderId="3" xfId="0" applyFont="1" applyFill="1" applyBorder="1"/>
    <xf numFmtId="167" fontId="12" fillId="0" borderId="0" xfId="1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0" fontId="10" fillId="0" borderId="5" xfId="0" applyFont="1" applyBorder="1"/>
    <xf numFmtId="171" fontId="12" fillId="0" borderId="0" xfId="1" applyNumberFormat="1" applyFont="1" applyBorder="1" applyAlignment="1">
      <alignment horizontal="center"/>
    </xf>
    <xf numFmtId="0" fontId="13" fillId="0" borderId="0" xfId="0" applyFont="1"/>
    <xf numFmtId="2" fontId="10" fillId="0" borderId="0" xfId="0" applyNumberFormat="1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172" fontId="12" fillId="0" borderId="7" xfId="2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9" fontId="0" fillId="0" borderId="0" xfId="2" applyFont="1" applyAlignment="1">
      <alignment horizontal="center"/>
    </xf>
    <xf numFmtId="168" fontId="4" fillId="0" borderId="0" xfId="0" applyNumberFormat="1" applyFont="1"/>
    <xf numFmtId="0" fontId="0" fillId="0" borderId="0" xfId="0" applyAlignment="1">
      <alignment horizontal="center"/>
    </xf>
    <xf numFmtId="10" fontId="12" fillId="0" borderId="0" xfId="2" applyNumberFormat="1" applyFont="1" applyBorder="1" applyAlignment="1">
      <alignment horizontal="center"/>
    </xf>
    <xf numFmtId="10" fontId="10" fillId="0" borderId="0" xfId="0" applyNumberFormat="1" applyFont="1" applyBorder="1"/>
    <xf numFmtId="10" fontId="12" fillId="0" borderId="4" xfId="2" applyNumberFormat="1" applyFont="1" applyBorder="1" applyAlignment="1">
      <alignment horizontal="center"/>
    </xf>
    <xf numFmtId="4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9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2" fontId="10" fillId="2" borderId="3" xfId="0" applyNumberFormat="1" applyFont="1" applyFill="1" applyBorder="1" applyAlignment="1">
      <alignment horizontal="center"/>
    </xf>
    <xf numFmtId="2" fontId="10" fillId="2" borderId="0" xfId="0" applyNumberFormat="1" applyFont="1" applyFill="1" applyBorder="1" applyAlignment="1">
      <alignment horizontal="center"/>
    </xf>
    <xf numFmtId="2" fontId="10" fillId="2" borderId="4" xfId="0" applyNumberFormat="1" applyFont="1" applyFill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2" fontId="10" fillId="0" borderId="5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10" fillId="0" borderId="8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10" fillId="0" borderId="8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10" fillId="0" borderId="3" xfId="2" applyNumberFormat="1" applyFont="1" applyBorder="1" applyAlignment="1">
      <alignment horizontal="center"/>
    </xf>
    <xf numFmtId="166" fontId="10" fillId="0" borderId="3" xfId="0" applyNumberFormat="1" applyFont="1" applyBorder="1" applyAlignment="1">
      <alignment horizontal="center"/>
    </xf>
    <xf numFmtId="166" fontId="10" fillId="0" borderId="5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2" fontId="10" fillId="0" borderId="12" xfId="0" applyNumberFormat="1" applyFont="1" applyBorder="1" applyAlignment="1">
      <alignment horizontal="center"/>
    </xf>
    <xf numFmtId="2" fontId="10" fillId="0" borderId="13" xfId="0" applyNumberFormat="1" applyFont="1" applyBorder="1" applyAlignment="1">
      <alignment horizontal="center"/>
    </xf>
    <xf numFmtId="2" fontId="10" fillId="0" borderId="14" xfId="0" applyNumberFormat="1" applyFont="1" applyBorder="1" applyAlignment="1">
      <alignment horizontal="center"/>
    </xf>
    <xf numFmtId="43" fontId="10" fillId="0" borderId="0" xfId="0" applyNumberFormat="1" applyFont="1" applyBorder="1"/>
    <xf numFmtId="3" fontId="10" fillId="0" borderId="0" xfId="0" applyNumberFormat="1" applyFont="1" applyBorder="1"/>
    <xf numFmtId="169" fontId="15" fillId="0" borderId="0" xfId="2" applyNumberFormat="1" applyFont="1" applyBorder="1"/>
    <xf numFmtId="165" fontId="11" fillId="0" borderId="7" xfId="2" applyNumberFormat="1" applyFont="1" applyBorder="1"/>
    <xf numFmtId="0" fontId="10" fillId="0" borderId="1" xfId="0" applyFont="1" applyBorder="1"/>
    <xf numFmtId="2" fontId="10" fillId="3" borderId="3" xfId="0" applyNumberFormat="1" applyFont="1" applyFill="1" applyBorder="1" applyAlignment="1">
      <alignment horizontal="center"/>
    </xf>
    <xf numFmtId="2" fontId="10" fillId="3" borderId="0" xfId="0" applyNumberFormat="1" applyFont="1" applyFill="1" applyBorder="1" applyAlignment="1">
      <alignment horizontal="center"/>
    </xf>
    <xf numFmtId="2" fontId="10" fillId="3" borderId="5" xfId="0" applyNumberFormat="1" applyFont="1" applyFill="1" applyBorder="1" applyAlignment="1">
      <alignment horizontal="center"/>
    </xf>
    <xf numFmtId="2" fontId="10" fillId="3" borderId="7" xfId="0" applyNumberFormat="1" applyFont="1" applyFill="1" applyBorder="1" applyAlignment="1">
      <alignment horizontal="center"/>
    </xf>
    <xf numFmtId="3" fontId="10" fillId="3" borderId="4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0" fontId="6" fillId="0" borderId="12" xfId="0" applyFont="1" applyBorder="1"/>
    <xf numFmtId="0" fontId="10" fillId="0" borderId="13" xfId="0" applyFont="1" applyBorder="1"/>
    <xf numFmtId="43" fontId="5" fillId="0" borderId="14" xfId="1" applyNumberFormat="1" applyFont="1" applyBorder="1"/>
    <xf numFmtId="0" fontId="10" fillId="0" borderId="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Loss of felt sheets from Factory to Market</a:t>
            </a:r>
          </a:p>
        </c:rich>
      </c:tx>
      <c:layout>
        <c:manualLayout>
          <c:xMode val="edge"/>
          <c:yMode val="edge"/>
          <c:x val="9.2145888013998242E-2"/>
          <c:y val="2.6704761904761905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Charts!$B$27</c:f>
              <c:strCache>
                <c:ptCount val="1"/>
                <c:pt idx="0">
                  <c:v>Red - Scen1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Charts!$A$28:$A$48</c:f>
              <c:numCache>
                <c:formatCode>General</c:formatCode>
                <c:ptCount val="2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</c:numCache>
            </c:numRef>
          </c:cat>
          <c:val>
            <c:numRef>
              <c:f>Charts!$B$28:$B$48</c:f>
              <c:numCache>
                <c:formatCode>0.00</c:formatCode>
                <c:ptCount val="21"/>
                <c:pt idx="0">
                  <c:v>550</c:v>
                </c:pt>
                <c:pt idx="1">
                  <c:v>539</c:v>
                </c:pt>
                <c:pt idx="2">
                  <c:v>528.22</c:v>
                </c:pt>
                <c:pt idx="3">
                  <c:v>517.65560000000005</c:v>
                </c:pt>
                <c:pt idx="4">
                  <c:v>507.30248800000004</c:v>
                </c:pt>
                <c:pt idx="5">
                  <c:v>497.15643824000006</c:v>
                </c:pt>
                <c:pt idx="6">
                  <c:v>487.21330947520005</c:v>
                </c:pt>
                <c:pt idx="7">
                  <c:v>477.46904328569605</c:v>
                </c:pt>
                <c:pt idx="8">
                  <c:v>467.9196624199821</c:v>
                </c:pt>
                <c:pt idx="9">
                  <c:v>458.56126917158247</c:v>
                </c:pt>
                <c:pt idx="10">
                  <c:v>449.39004378815082</c:v>
                </c:pt>
                <c:pt idx="11">
                  <c:v>440.40224291238781</c:v>
                </c:pt>
                <c:pt idx="12">
                  <c:v>431.59419805414007</c:v>
                </c:pt>
                <c:pt idx="13">
                  <c:v>422.96231409305727</c:v>
                </c:pt>
                <c:pt idx="14">
                  <c:v>414.5030678111961</c:v>
                </c:pt>
                <c:pt idx="15">
                  <c:v>406.21300645497217</c:v>
                </c:pt>
                <c:pt idx="16">
                  <c:v>398.08874632587271</c:v>
                </c:pt>
                <c:pt idx="17">
                  <c:v>390.12697139935523</c:v>
                </c:pt>
                <c:pt idx="18">
                  <c:v>382.32443197136814</c:v>
                </c:pt>
                <c:pt idx="19">
                  <c:v>374.67794333194075</c:v>
                </c:pt>
                <c:pt idx="20">
                  <c:v>367.18438446530195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Charts!$C$27</c:f>
              <c:strCache>
                <c:ptCount val="1"/>
                <c:pt idx="0">
                  <c:v>Green - Scen1</c:v>
                </c:pt>
              </c:strCache>
            </c:strRef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cat>
            <c:numRef>
              <c:f>Charts!$A$28:$A$48</c:f>
              <c:numCache>
                <c:formatCode>General</c:formatCode>
                <c:ptCount val="2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</c:numCache>
            </c:numRef>
          </c:cat>
          <c:val>
            <c:numRef>
              <c:f>Charts!$C$28:$C$48</c:f>
              <c:numCache>
                <c:formatCode>0.00</c:formatCode>
                <c:ptCount val="21"/>
                <c:pt idx="0">
                  <c:v>775</c:v>
                </c:pt>
                <c:pt idx="1">
                  <c:v>759.5</c:v>
                </c:pt>
                <c:pt idx="2">
                  <c:v>744.31</c:v>
                </c:pt>
                <c:pt idx="3">
                  <c:v>729.42379999999991</c:v>
                </c:pt>
                <c:pt idx="4">
                  <c:v>714.8353239999999</c:v>
                </c:pt>
                <c:pt idx="5">
                  <c:v>700.53861751999989</c:v>
                </c:pt>
                <c:pt idx="6">
                  <c:v>686.52784516959991</c:v>
                </c:pt>
                <c:pt idx="7">
                  <c:v>672.79728826620794</c:v>
                </c:pt>
                <c:pt idx="8">
                  <c:v>659.3413425008838</c:v>
                </c:pt>
                <c:pt idx="9">
                  <c:v>646.15451565086607</c:v>
                </c:pt>
                <c:pt idx="10">
                  <c:v>633.23142533784869</c:v>
                </c:pt>
                <c:pt idx="11">
                  <c:v>620.56679683109166</c:v>
                </c:pt>
                <c:pt idx="12">
                  <c:v>608.1554608944698</c:v>
                </c:pt>
                <c:pt idx="13">
                  <c:v>595.99235167658037</c:v>
                </c:pt>
                <c:pt idx="14">
                  <c:v>584.07250464304877</c:v>
                </c:pt>
                <c:pt idx="15">
                  <c:v>572.39105455018773</c:v>
                </c:pt>
                <c:pt idx="16">
                  <c:v>560.94323345918394</c:v>
                </c:pt>
                <c:pt idx="17">
                  <c:v>549.7243687900002</c:v>
                </c:pt>
                <c:pt idx="18">
                  <c:v>538.72988141420024</c:v>
                </c:pt>
                <c:pt idx="19">
                  <c:v>527.95528378591621</c:v>
                </c:pt>
                <c:pt idx="20">
                  <c:v>517.39617811019787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Charts!$D$27</c:f>
              <c:strCache>
                <c:ptCount val="1"/>
                <c:pt idx="0">
                  <c:v>Black - Scen1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Charts!$A$28:$A$48</c:f>
              <c:numCache>
                <c:formatCode>General</c:formatCode>
                <c:ptCount val="2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</c:numCache>
            </c:numRef>
          </c:cat>
          <c:val>
            <c:numRef>
              <c:f>Charts!$D$28:$D$48</c:f>
              <c:numCache>
                <c:formatCode>0.00</c:formatCode>
                <c:ptCount val="21"/>
                <c:pt idx="0">
                  <c:v>775</c:v>
                </c:pt>
                <c:pt idx="1">
                  <c:v>759.5</c:v>
                </c:pt>
                <c:pt idx="2">
                  <c:v>744.31</c:v>
                </c:pt>
                <c:pt idx="3">
                  <c:v>729.42379999999991</c:v>
                </c:pt>
                <c:pt idx="4">
                  <c:v>714.8353239999999</c:v>
                </c:pt>
                <c:pt idx="5">
                  <c:v>700.53861751999989</c:v>
                </c:pt>
                <c:pt idx="6">
                  <c:v>686.52784516959991</c:v>
                </c:pt>
                <c:pt idx="7">
                  <c:v>672.79728826620794</c:v>
                </c:pt>
                <c:pt idx="8">
                  <c:v>659.3413425008838</c:v>
                </c:pt>
                <c:pt idx="9">
                  <c:v>646.15451565086607</c:v>
                </c:pt>
                <c:pt idx="10">
                  <c:v>633.23142533784869</c:v>
                </c:pt>
                <c:pt idx="11">
                  <c:v>620.56679683109166</c:v>
                </c:pt>
                <c:pt idx="12">
                  <c:v>608.1554608944698</c:v>
                </c:pt>
                <c:pt idx="13">
                  <c:v>595.99235167658037</c:v>
                </c:pt>
                <c:pt idx="14">
                  <c:v>584.07250464304877</c:v>
                </c:pt>
                <c:pt idx="15">
                  <c:v>572.39105455018773</c:v>
                </c:pt>
                <c:pt idx="16">
                  <c:v>560.94323345918394</c:v>
                </c:pt>
                <c:pt idx="17">
                  <c:v>549.7243687900002</c:v>
                </c:pt>
                <c:pt idx="18">
                  <c:v>538.72988141420024</c:v>
                </c:pt>
                <c:pt idx="19">
                  <c:v>527.95528378591621</c:v>
                </c:pt>
                <c:pt idx="20">
                  <c:v>517.39617811019787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Charts!$E$27</c:f>
              <c:strCache>
                <c:ptCount val="1"/>
                <c:pt idx="0">
                  <c:v>Red - Scen2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Charts!$A$28:$A$48</c:f>
              <c:numCache>
                <c:formatCode>General</c:formatCode>
                <c:ptCount val="2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</c:numCache>
            </c:numRef>
          </c:cat>
          <c:val>
            <c:numRef>
              <c:f>Charts!$E$28:$E$48</c:f>
              <c:numCache>
                <c:formatCode>0.00</c:formatCode>
                <c:ptCount val="21"/>
                <c:pt idx="0">
                  <c:v>550</c:v>
                </c:pt>
                <c:pt idx="1">
                  <c:v>544.5</c:v>
                </c:pt>
                <c:pt idx="2">
                  <c:v>539.05499999999995</c:v>
                </c:pt>
                <c:pt idx="3">
                  <c:v>533.66444999999999</c:v>
                </c:pt>
                <c:pt idx="4">
                  <c:v>528.32780549999995</c:v>
                </c:pt>
                <c:pt idx="5">
                  <c:v>523.04452744499997</c:v>
                </c:pt>
                <c:pt idx="6">
                  <c:v>517.81408217055002</c:v>
                </c:pt>
                <c:pt idx="7">
                  <c:v>512.63594134884454</c:v>
                </c:pt>
                <c:pt idx="8">
                  <c:v>507.5095819353561</c:v>
                </c:pt>
                <c:pt idx="9">
                  <c:v>502.43448611600252</c:v>
                </c:pt>
                <c:pt idx="10">
                  <c:v>497.41014125484247</c:v>
                </c:pt>
                <c:pt idx="11">
                  <c:v>492.43603984229406</c:v>
                </c:pt>
                <c:pt idx="12">
                  <c:v>487.51167944387112</c:v>
                </c:pt>
                <c:pt idx="13">
                  <c:v>482.63656264943239</c:v>
                </c:pt>
                <c:pt idx="14">
                  <c:v>477.81019702293804</c:v>
                </c:pt>
                <c:pt idx="15">
                  <c:v>473.03209505270866</c:v>
                </c:pt>
                <c:pt idx="16">
                  <c:v>468.30177410218158</c:v>
                </c:pt>
                <c:pt idx="17">
                  <c:v>463.61875636115974</c:v>
                </c:pt>
                <c:pt idx="18">
                  <c:v>458.98256879754814</c:v>
                </c:pt>
                <c:pt idx="19">
                  <c:v>454.39274310957268</c:v>
                </c:pt>
                <c:pt idx="20">
                  <c:v>449.84881567847697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Charts!$F$27</c:f>
              <c:strCache>
                <c:ptCount val="1"/>
                <c:pt idx="0">
                  <c:v>Green - Scen2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Charts!$A$28:$A$48</c:f>
              <c:numCache>
                <c:formatCode>General</c:formatCode>
                <c:ptCount val="2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</c:numCache>
            </c:numRef>
          </c:cat>
          <c:val>
            <c:numRef>
              <c:f>Charts!$F$28:$F$48</c:f>
              <c:numCache>
                <c:formatCode>0.00</c:formatCode>
                <c:ptCount val="21"/>
                <c:pt idx="0">
                  <c:v>775</c:v>
                </c:pt>
                <c:pt idx="1">
                  <c:v>767.25</c:v>
                </c:pt>
                <c:pt idx="2">
                  <c:v>759.57749999999999</c:v>
                </c:pt>
                <c:pt idx="3">
                  <c:v>751.98172499999998</c:v>
                </c:pt>
                <c:pt idx="4">
                  <c:v>744.46190775000002</c:v>
                </c:pt>
                <c:pt idx="5">
                  <c:v>737.01728867250006</c:v>
                </c:pt>
                <c:pt idx="6">
                  <c:v>729.6471157857751</c:v>
                </c:pt>
                <c:pt idx="7">
                  <c:v>722.35064462791729</c:v>
                </c:pt>
                <c:pt idx="8">
                  <c:v>715.12713818163809</c:v>
                </c:pt>
                <c:pt idx="9">
                  <c:v>707.97586679982169</c:v>
                </c:pt>
                <c:pt idx="10">
                  <c:v>700.89610813182344</c:v>
                </c:pt>
                <c:pt idx="11">
                  <c:v>693.88714705050518</c:v>
                </c:pt>
                <c:pt idx="12">
                  <c:v>686.94827558000009</c:v>
                </c:pt>
                <c:pt idx="13">
                  <c:v>680.07879282420004</c:v>
                </c:pt>
                <c:pt idx="14">
                  <c:v>673.27800489595802</c:v>
                </c:pt>
                <c:pt idx="15">
                  <c:v>666.54522484699839</c:v>
                </c:pt>
                <c:pt idx="16">
                  <c:v>659.87977259852835</c:v>
                </c:pt>
                <c:pt idx="17">
                  <c:v>653.28097487254308</c:v>
                </c:pt>
                <c:pt idx="18">
                  <c:v>646.74816512381767</c:v>
                </c:pt>
                <c:pt idx="19">
                  <c:v>640.28068347257954</c:v>
                </c:pt>
                <c:pt idx="20">
                  <c:v>633.87787663785377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Charts!$G$27</c:f>
              <c:strCache>
                <c:ptCount val="1"/>
                <c:pt idx="0">
                  <c:v>Black - Scen2</c:v>
                </c:pt>
              </c:strCache>
            </c:strRef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cat>
            <c:numRef>
              <c:f>Charts!$A$28:$A$48</c:f>
              <c:numCache>
                <c:formatCode>General</c:formatCode>
                <c:ptCount val="21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</c:numCache>
            </c:numRef>
          </c:cat>
          <c:val>
            <c:numRef>
              <c:f>Charts!$G$28:$G$48</c:f>
              <c:numCache>
                <c:formatCode>0.00</c:formatCode>
                <c:ptCount val="21"/>
                <c:pt idx="0">
                  <c:v>775</c:v>
                </c:pt>
                <c:pt idx="1">
                  <c:v>744</c:v>
                </c:pt>
                <c:pt idx="2">
                  <c:v>714.24</c:v>
                </c:pt>
                <c:pt idx="3">
                  <c:v>685.67039999999997</c:v>
                </c:pt>
                <c:pt idx="4">
                  <c:v>658.24358399999994</c:v>
                </c:pt>
                <c:pt idx="5">
                  <c:v>631.91384063999988</c:v>
                </c:pt>
                <c:pt idx="6">
                  <c:v>606.63728701439982</c:v>
                </c:pt>
                <c:pt idx="7">
                  <c:v>582.37179553382384</c:v>
                </c:pt>
                <c:pt idx="8">
                  <c:v>559.07692371247083</c:v>
                </c:pt>
                <c:pt idx="9">
                  <c:v>536.71384676397201</c:v>
                </c:pt>
                <c:pt idx="10">
                  <c:v>515.24529289341308</c:v>
                </c:pt>
                <c:pt idx="11">
                  <c:v>494.63548117767652</c:v>
                </c:pt>
                <c:pt idx="12">
                  <c:v>474.85006193056944</c:v>
                </c:pt>
                <c:pt idx="13">
                  <c:v>455.85605945334663</c:v>
                </c:pt>
                <c:pt idx="14">
                  <c:v>437.62181707521273</c:v>
                </c:pt>
                <c:pt idx="15">
                  <c:v>420.11694439220423</c:v>
                </c:pt>
                <c:pt idx="16">
                  <c:v>403.31226661651607</c:v>
                </c:pt>
                <c:pt idx="17">
                  <c:v>387.17977595185539</c:v>
                </c:pt>
                <c:pt idx="18">
                  <c:v>371.69258491378116</c:v>
                </c:pt>
                <c:pt idx="19">
                  <c:v>356.82488151722993</c:v>
                </c:pt>
                <c:pt idx="20">
                  <c:v>342.55188625654074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084032"/>
        <c:axId val="43110784"/>
      </c:lineChart>
      <c:catAx>
        <c:axId val="4308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Days since bought bags of wool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110784"/>
        <c:crosses val="autoZero"/>
        <c:auto val="1"/>
        <c:lblAlgn val="ctr"/>
        <c:lblOffset val="100"/>
        <c:noMultiLvlLbl val="0"/>
      </c:catAx>
      <c:valAx>
        <c:axId val="431107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Number of felt sheets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084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166819772528436"/>
          <c:y val="0.3457142857142857"/>
          <c:w val="0.23958377077865267"/>
          <c:h val="0.4114285714285714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Profit and IRR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Charts!$B$55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cat>
            <c:strRef>
              <c:f>Charts!$C$54:$D$54</c:f>
              <c:strCache>
                <c:ptCount val="2"/>
                <c:pt idx="0">
                  <c:v>Scenario 1</c:v>
                </c:pt>
                <c:pt idx="1">
                  <c:v>Scenario 2</c:v>
                </c:pt>
              </c:strCache>
            </c:strRef>
          </c:cat>
          <c:val>
            <c:numRef>
              <c:f>Charts!$C$55:$D$55</c:f>
              <c:numCache>
                <c:formatCode>#,##0</c:formatCode>
                <c:ptCount val="2"/>
                <c:pt idx="0">
                  <c:v>2499.9999999999927</c:v>
                </c:pt>
                <c:pt idx="1">
                  <c:v>8353.9848869530106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843200"/>
        <c:axId val="51281280"/>
      </c:lineChart>
      <c:lineChart>
        <c:grouping val="standard"/>
        <c:varyColors val="0"/>
        <c:ser>
          <c:idx val="1"/>
          <c:order val="1"/>
          <c:tx>
            <c:strRef>
              <c:f>Charts!$B$56</c:f>
              <c:strCache>
                <c:ptCount val="1"/>
                <c:pt idx="0">
                  <c:v>IRR (per annum)</c:v>
                </c:pt>
              </c:strCache>
            </c:strRef>
          </c:tx>
          <c:marker>
            <c:symbol val="none"/>
          </c:marker>
          <c:cat>
            <c:strRef>
              <c:f>Charts!$C$54:$D$54</c:f>
              <c:strCache>
                <c:ptCount val="2"/>
                <c:pt idx="0">
                  <c:v>Scenario 1</c:v>
                </c:pt>
                <c:pt idx="1">
                  <c:v>Scenario 2</c:v>
                </c:pt>
              </c:strCache>
            </c:strRef>
          </c:cat>
          <c:val>
            <c:numRef>
              <c:f>Charts!$C$56:$D$56</c:f>
              <c:numCache>
                <c:formatCode>0%</c:formatCode>
                <c:ptCount val="2"/>
                <c:pt idx="0">
                  <c:v>1.3578181321048457</c:v>
                </c:pt>
                <c:pt idx="1">
                  <c:v>10.280295663647134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47392"/>
        <c:axId val="42748928"/>
      </c:lineChart>
      <c:catAx>
        <c:axId val="4984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51281280"/>
        <c:crosses val="autoZero"/>
        <c:auto val="1"/>
        <c:lblAlgn val="ctr"/>
        <c:lblOffset val="100"/>
        <c:noMultiLvlLbl val="0"/>
      </c:catAx>
      <c:valAx>
        <c:axId val="51281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Profit (in $s)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9843200"/>
        <c:crosses val="autoZero"/>
        <c:crossBetween val="between"/>
      </c:valAx>
      <c:catAx>
        <c:axId val="42747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748928"/>
        <c:crosses val="autoZero"/>
        <c:auto val="1"/>
        <c:lblAlgn val="ctr"/>
        <c:lblOffset val="100"/>
        <c:noMultiLvlLbl val="0"/>
      </c:catAx>
      <c:valAx>
        <c:axId val="4274892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2747392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71458486439195101"/>
          <c:y val="0.48630208895120985"/>
          <c:w val="0.26666710411198602"/>
          <c:h val="0.16438392118793366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Loss of bags of wool from Farmer to Factory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Charts!$B$3</c:f>
              <c:strCache>
                <c:ptCount val="1"/>
                <c:pt idx="0">
                  <c:v>Red bags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val>
            <c:numRef>
              <c:f>Charts!$B$4:$B$18</c:f>
              <c:numCache>
                <c:formatCode>0.00</c:formatCode>
                <c:ptCount val="15"/>
                <c:pt idx="0">
                  <c:v>100</c:v>
                </c:pt>
                <c:pt idx="1">
                  <c:v>97</c:v>
                </c:pt>
                <c:pt idx="2">
                  <c:v>94</c:v>
                </c:pt>
                <c:pt idx="3">
                  <c:v>91</c:v>
                </c:pt>
                <c:pt idx="4">
                  <c:v>88</c:v>
                </c:pt>
                <c:pt idx="5">
                  <c:v>85</c:v>
                </c:pt>
                <c:pt idx="6">
                  <c:v>82</c:v>
                </c:pt>
                <c:pt idx="7">
                  <c:v>79</c:v>
                </c:pt>
                <c:pt idx="8">
                  <c:v>76</c:v>
                </c:pt>
                <c:pt idx="9">
                  <c:v>73</c:v>
                </c:pt>
                <c:pt idx="10">
                  <c:v>70</c:v>
                </c:pt>
                <c:pt idx="11">
                  <c:v>67</c:v>
                </c:pt>
                <c:pt idx="12">
                  <c:v>64</c:v>
                </c:pt>
                <c:pt idx="13">
                  <c:v>61</c:v>
                </c:pt>
                <c:pt idx="14">
                  <c:v>58</c:v>
                </c:pt>
              </c:numCache>
            </c:numRef>
          </c:val>
        </c:ser>
        <c:ser>
          <c:idx val="1"/>
          <c:order val="1"/>
          <c:tx>
            <c:strRef>
              <c:f>Charts!$C$3</c:f>
              <c:strCache>
                <c:ptCount val="1"/>
                <c:pt idx="0">
                  <c:v>Green bags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val>
            <c:numRef>
              <c:f>Charts!$C$4:$C$18</c:f>
              <c:numCache>
                <c:formatCode>0.00</c:formatCode>
                <c:ptCount val="15"/>
                <c:pt idx="0">
                  <c:v>100</c:v>
                </c:pt>
                <c:pt idx="1">
                  <c:v>98.5</c:v>
                </c:pt>
                <c:pt idx="2">
                  <c:v>97</c:v>
                </c:pt>
                <c:pt idx="3">
                  <c:v>95.5</c:v>
                </c:pt>
                <c:pt idx="4">
                  <c:v>94</c:v>
                </c:pt>
                <c:pt idx="5">
                  <c:v>92.5</c:v>
                </c:pt>
                <c:pt idx="6">
                  <c:v>91</c:v>
                </c:pt>
                <c:pt idx="7">
                  <c:v>89.5</c:v>
                </c:pt>
                <c:pt idx="8">
                  <c:v>88</c:v>
                </c:pt>
                <c:pt idx="9">
                  <c:v>86.5</c:v>
                </c:pt>
                <c:pt idx="10">
                  <c:v>85</c:v>
                </c:pt>
                <c:pt idx="11">
                  <c:v>83.5</c:v>
                </c:pt>
                <c:pt idx="12">
                  <c:v>82</c:v>
                </c:pt>
                <c:pt idx="13">
                  <c:v>80.5</c:v>
                </c:pt>
                <c:pt idx="14">
                  <c:v>79</c:v>
                </c:pt>
              </c:numCache>
            </c:numRef>
          </c:val>
        </c:ser>
        <c:ser>
          <c:idx val="2"/>
          <c:order val="2"/>
          <c:tx>
            <c:strRef>
              <c:f>Charts!$D$3</c:f>
              <c:strCache>
                <c:ptCount val="1"/>
                <c:pt idx="0">
                  <c:v>Black bags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Charts!$D$4:$D$18</c:f>
              <c:numCache>
                <c:formatCode>0.00</c:formatCode>
                <c:ptCount val="15"/>
                <c:pt idx="0">
                  <c:v>100</c:v>
                </c:pt>
                <c:pt idx="1">
                  <c:v>98.5</c:v>
                </c:pt>
                <c:pt idx="2">
                  <c:v>97</c:v>
                </c:pt>
                <c:pt idx="3">
                  <c:v>95.5</c:v>
                </c:pt>
                <c:pt idx="4">
                  <c:v>94</c:v>
                </c:pt>
                <c:pt idx="5">
                  <c:v>92.5</c:v>
                </c:pt>
                <c:pt idx="6">
                  <c:v>91</c:v>
                </c:pt>
                <c:pt idx="7">
                  <c:v>89.5</c:v>
                </c:pt>
                <c:pt idx="8">
                  <c:v>88</c:v>
                </c:pt>
                <c:pt idx="9">
                  <c:v>86.5</c:v>
                </c:pt>
                <c:pt idx="10">
                  <c:v>85</c:v>
                </c:pt>
                <c:pt idx="11">
                  <c:v>83.5</c:v>
                </c:pt>
                <c:pt idx="12">
                  <c:v>82</c:v>
                </c:pt>
                <c:pt idx="13">
                  <c:v>80.5</c:v>
                </c:pt>
                <c:pt idx="14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04192"/>
        <c:axId val="48106112"/>
      </c:barChart>
      <c:catAx>
        <c:axId val="481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Days since wool bought from Farmer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8106112"/>
        <c:crosses val="autoZero"/>
        <c:auto val="1"/>
        <c:lblAlgn val="ctr"/>
        <c:lblOffset val="100"/>
        <c:noMultiLvlLbl val="0"/>
      </c:catAx>
      <c:valAx>
        <c:axId val="48106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Number of bags of wool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8104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1041841644794388"/>
          <c:y val="0.43402923592884224"/>
          <c:w val="0.17291710411198602"/>
          <c:h val="0.25000072907553228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27</xdr:row>
      <xdr:rowOff>66675</xdr:rowOff>
    </xdr:from>
    <xdr:to>
      <xdr:col>12</xdr:col>
      <xdr:colOff>361950</xdr:colOff>
      <xdr:row>48</xdr:row>
      <xdr:rowOff>0</xdr:rowOff>
    </xdr:to>
    <xdr:graphicFrame macro="">
      <xdr:nvGraphicFramePr>
        <xdr:cNvPr id="164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285750</xdr:colOff>
      <xdr:row>51</xdr:row>
      <xdr:rowOff>0</xdr:rowOff>
    </xdr:from>
    <xdr:to>
      <xdr:col>9</xdr:col>
      <xdr:colOff>238125</xdr:colOff>
      <xdr:row>67</xdr:row>
      <xdr:rowOff>152400</xdr:rowOff>
    </xdr:to>
    <xdr:graphicFrame macro="">
      <xdr:nvGraphicFramePr>
        <xdr:cNvPr id="164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466725</xdr:colOff>
      <xdr:row>1</xdr:row>
      <xdr:rowOff>142875</xdr:rowOff>
    </xdr:from>
    <xdr:to>
      <xdr:col>9</xdr:col>
      <xdr:colOff>419100</xdr:colOff>
      <xdr:row>18</xdr:row>
      <xdr:rowOff>133350</xdr:rowOff>
    </xdr:to>
    <xdr:graphicFrame macro="">
      <xdr:nvGraphicFramePr>
        <xdr:cNvPr id="164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/>
  </sheetViews>
  <sheetFormatPr defaultRowHeight="12.75" x14ac:dyDescent="0.2"/>
  <cols>
    <col min="1" max="1" width="23.7109375" style="14" customWidth="1"/>
    <col min="2" max="2" width="11.5703125" style="14" customWidth="1"/>
    <col min="3" max="3" width="11.85546875" style="14" customWidth="1"/>
    <col min="4" max="4" width="12.7109375" style="14" customWidth="1"/>
    <col min="5" max="5" width="13.5703125" style="14" customWidth="1"/>
    <col min="6" max="6" width="5.7109375" style="14" customWidth="1"/>
    <col min="7" max="7" width="12.28515625" style="14" customWidth="1"/>
    <col min="8" max="8" width="4.28515625" style="14" customWidth="1"/>
    <col min="9" max="9" width="14.5703125" style="14" customWidth="1"/>
    <col min="10" max="16384" width="9.140625" style="14"/>
  </cols>
  <sheetData>
    <row r="1" spans="1:3" ht="15.75" x14ac:dyDescent="0.25">
      <c r="A1" s="13" t="s">
        <v>4</v>
      </c>
    </row>
    <row r="2" spans="1:3" ht="15.75" x14ac:dyDescent="0.25">
      <c r="A2" s="13"/>
    </row>
    <row r="3" spans="1:3" x14ac:dyDescent="0.2">
      <c r="A3" s="15" t="s">
        <v>19</v>
      </c>
      <c r="B3" s="16"/>
    </row>
    <row r="4" spans="1:3" x14ac:dyDescent="0.2">
      <c r="A4" s="17"/>
      <c r="B4" s="18"/>
    </row>
    <row r="5" spans="1:3" x14ac:dyDescent="0.2">
      <c r="A5" s="17"/>
      <c r="B5" s="19" t="s">
        <v>15</v>
      </c>
    </row>
    <row r="6" spans="1:3" x14ac:dyDescent="0.2">
      <c r="A6" s="20" t="s">
        <v>16</v>
      </c>
      <c r="B6" s="27">
        <v>100</v>
      </c>
    </row>
    <row r="7" spans="1:3" x14ac:dyDescent="0.2">
      <c r="A7" s="20" t="s">
        <v>17</v>
      </c>
      <c r="B7" s="27">
        <v>100</v>
      </c>
    </row>
    <row r="8" spans="1:3" x14ac:dyDescent="0.2">
      <c r="A8" s="21" t="s">
        <v>18</v>
      </c>
      <c r="B8" s="31">
        <v>100</v>
      </c>
    </row>
    <row r="10" spans="1:3" x14ac:dyDescent="0.2">
      <c r="A10" s="15" t="s">
        <v>40</v>
      </c>
      <c r="B10" s="22"/>
      <c r="C10" s="16"/>
    </row>
    <row r="11" spans="1:3" x14ac:dyDescent="0.2">
      <c r="A11" s="37" t="s">
        <v>43</v>
      </c>
      <c r="B11" s="25" t="s">
        <v>41</v>
      </c>
      <c r="C11" s="24" t="s">
        <v>42</v>
      </c>
    </row>
    <row r="12" spans="1:3" x14ac:dyDescent="0.2">
      <c r="A12" s="20" t="s">
        <v>46</v>
      </c>
      <c r="B12" s="51">
        <v>1</v>
      </c>
      <c r="C12" s="27">
        <v>15</v>
      </c>
    </row>
    <row r="13" spans="1:3" x14ac:dyDescent="0.2">
      <c r="A13" s="20" t="s">
        <v>44</v>
      </c>
      <c r="B13" s="51">
        <v>16</v>
      </c>
      <c r="C13" s="27">
        <f>C12+7</f>
        <v>22</v>
      </c>
    </row>
    <row r="14" spans="1:3" x14ac:dyDescent="0.2">
      <c r="A14" s="20" t="s">
        <v>45</v>
      </c>
      <c r="B14" s="51">
        <f>C13+1</f>
        <v>23</v>
      </c>
      <c r="C14" s="27">
        <f>C13+20</f>
        <v>42</v>
      </c>
    </row>
    <row r="15" spans="1:3" x14ac:dyDescent="0.2">
      <c r="A15" s="21" t="s">
        <v>58</v>
      </c>
      <c r="B15" s="33">
        <f>C14+1</f>
        <v>43</v>
      </c>
      <c r="C15" s="31">
        <f>B15+1</f>
        <v>44</v>
      </c>
    </row>
    <row r="17" spans="1:7" ht="18" customHeight="1" x14ac:dyDescent="0.2">
      <c r="A17" s="15" t="s">
        <v>8</v>
      </c>
      <c r="B17" s="22"/>
      <c r="C17" s="22"/>
      <c r="D17" s="22"/>
      <c r="E17" s="22"/>
      <c r="F17" s="45"/>
      <c r="G17" s="46"/>
    </row>
    <row r="18" spans="1:7" x14ac:dyDescent="0.2">
      <c r="A18" s="17"/>
      <c r="B18" s="23"/>
      <c r="C18" s="23"/>
      <c r="D18" s="75" t="s">
        <v>101</v>
      </c>
      <c r="E18" s="23"/>
      <c r="F18" s="23"/>
      <c r="G18" s="18"/>
    </row>
    <row r="19" spans="1:7" x14ac:dyDescent="0.2">
      <c r="A19" s="47" t="s">
        <v>33</v>
      </c>
      <c r="B19" s="23"/>
      <c r="C19" s="23"/>
      <c r="D19" s="75" t="s">
        <v>102</v>
      </c>
      <c r="E19" s="23"/>
      <c r="F19" s="23"/>
      <c r="G19" s="18"/>
    </row>
    <row r="20" spans="1:7" x14ac:dyDescent="0.2">
      <c r="A20" s="17" t="s">
        <v>80</v>
      </c>
      <c r="B20" s="23"/>
      <c r="C20" s="23" t="s">
        <v>28</v>
      </c>
      <c r="D20" s="48">
        <v>3</v>
      </c>
      <c r="E20" s="25"/>
      <c r="F20" s="23"/>
      <c r="G20" s="18"/>
    </row>
    <row r="21" spans="1:7" x14ac:dyDescent="0.2">
      <c r="A21" s="17"/>
      <c r="B21" s="23"/>
      <c r="C21" s="23" t="s">
        <v>29</v>
      </c>
      <c r="D21" s="48">
        <v>1.5</v>
      </c>
      <c r="E21" s="25"/>
      <c r="F21" s="23"/>
      <c r="G21" s="18"/>
    </row>
    <row r="22" spans="1:7" x14ac:dyDescent="0.2">
      <c r="A22" s="17"/>
      <c r="B22" s="23"/>
      <c r="C22" s="23" t="s">
        <v>30</v>
      </c>
      <c r="D22" s="48">
        <v>1.5</v>
      </c>
      <c r="E22" s="25"/>
      <c r="F22" s="23"/>
      <c r="G22" s="18"/>
    </row>
    <row r="23" spans="1:7" x14ac:dyDescent="0.2">
      <c r="A23" s="17"/>
      <c r="B23" s="23"/>
      <c r="C23" s="23"/>
      <c r="D23" s="28"/>
      <c r="E23" s="25"/>
      <c r="F23" s="23"/>
      <c r="G23" s="18"/>
    </row>
    <row r="24" spans="1:7" x14ac:dyDescent="0.2">
      <c r="A24" s="20" t="s">
        <v>34</v>
      </c>
      <c r="B24" s="23"/>
      <c r="C24" s="23"/>
      <c r="D24" s="48">
        <v>10</v>
      </c>
      <c r="E24" s="49"/>
      <c r="F24" s="23"/>
      <c r="G24" s="18"/>
    </row>
    <row r="25" spans="1:7" x14ac:dyDescent="0.2">
      <c r="A25" s="17"/>
      <c r="B25" s="23"/>
      <c r="C25" s="23"/>
      <c r="D25" s="23"/>
      <c r="E25" s="23"/>
      <c r="F25" s="23"/>
      <c r="G25" s="18"/>
    </row>
    <row r="26" spans="1:7" ht="29.45" customHeight="1" x14ac:dyDescent="0.2">
      <c r="A26" s="47" t="s">
        <v>32</v>
      </c>
      <c r="B26" s="23"/>
      <c r="C26" s="23"/>
      <c r="D26" s="23"/>
      <c r="E26" s="67" t="s">
        <v>97</v>
      </c>
      <c r="F26" s="23"/>
      <c r="G26" s="68" t="s">
        <v>98</v>
      </c>
    </row>
    <row r="27" spans="1:7" x14ac:dyDescent="0.2">
      <c r="A27" s="17" t="s">
        <v>96</v>
      </c>
      <c r="B27" s="23"/>
      <c r="C27" s="23" t="s">
        <v>25</v>
      </c>
      <c r="D27" s="23"/>
      <c r="E27" s="63">
        <v>0.02</v>
      </c>
      <c r="F27" s="64"/>
      <c r="G27" s="65">
        <v>0.01</v>
      </c>
    </row>
    <row r="28" spans="1:7" x14ac:dyDescent="0.2">
      <c r="A28" s="17"/>
      <c r="B28" s="23"/>
      <c r="C28" s="23" t="s">
        <v>26</v>
      </c>
      <c r="D28" s="23"/>
      <c r="E28" s="63">
        <v>0.02</v>
      </c>
      <c r="F28" s="64"/>
      <c r="G28" s="65">
        <v>0.01</v>
      </c>
    </row>
    <row r="29" spans="1:7" x14ac:dyDescent="0.2">
      <c r="A29" s="17"/>
      <c r="B29" s="23"/>
      <c r="C29" s="23" t="s">
        <v>27</v>
      </c>
      <c r="D29" s="23"/>
      <c r="E29" s="63">
        <v>0.02</v>
      </c>
      <c r="F29" s="64"/>
      <c r="G29" s="65">
        <v>0.04</v>
      </c>
    </row>
    <row r="30" spans="1:7" x14ac:dyDescent="0.2">
      <c r="A30" s="50"/>
      <c r="B30" s="30"/>
      <c r="C30" s="30"/>
      <c r="D30" s="30"/>
      <c r="E30" s="30"/>
      <c r="F30" s="30"/>
      <c r="G30" s="34"/>
    </row>
    <row r="32" spans="1:7" x14ac:dyDescent="0.2">
      <c r="A32" s="15" t="s">
        <v>3</v>
      </c>
      <c r="B32" s="22"/>
      <c r="C32" s="22"/>
      <c r="D32" s="16"/>
    </row>
    <row r="33" spans="1:9" x14ac:dyDescent="0.2">
      <c r="A33" s="20"/>
      <c r="B33" s="23"/>
      <c r="C33" s="23"/>
      <c r="D33" s="18"/>
    </row>
    <row r="34" spans="1:9" x14ac:dyDescent="0.2">
      <c r="A34" s="20" t="s">
        <v>23</v>
      </c>
      <c r="B34" s="23"/>
      <c r="C34" s="23"/>
      <c r="D34" s="18"/>
    </row>
    <row r="35" spans="1:9" ht="25.5" x14ac:dyDescent="0.2">
      <c r="A35" s="17"/>
      <c r="B35" s="25" t="s">
        <v>22</v>
      </c>
      <c r="C35" s="25" t="s">
        <v>21</v>
      </c>
      <c r="D35" s="24" t="s">
        <v>6</v>
      </c>
      <c r="E35" s="26"/>
    </row>
    <row r="36" spans="1:9" x14ac:dyDescent="0.2">
      <c r="A36" s="20" t="s">
        <v>66</v>
      </c>
      <c r="B36" s="28">
        <v>3</v>
      </c>
      <c r="C36" s="28" t="s">
        <v>20</v>
      </c>
      <c r="D36" s="29">
        <v>150</v>
      </c>
    </row>
    <row r="37" spans="1:9" ht="15" customHeight="1" x14ac:dyDescent="0.2">
      <c r="A37" s="20" t="s">
        <v>67</v>
      </c>
      <c r="B37" s="28" t="s">
        <v>20</v>
      </c>
      <c r="C37" s="28">
        <v>0.6</v>
      </c>
      <c r="D37" s="29">
        <v>250</v>
      </c>
    </row>
    <row r="38" spans="1:9" x14ac:dyDescent="0.2">
      <c r="A38" s="17"/>
      <c r="B38" s="23"/>
      <c r="C38" s="23"/>
      <c r="D38" s="32"/>
    </row>
    <row r="39" spans="1:9" x14ac:dyDescent="0.2">
      <c r="A39" s="21" t="s">
        <v>31</v>
      </c>
      <c r="B39" s="30"/>
      <c r="C39" s="33">
        <v>100</v>
      </c>
      <c r="D39" s="34" t="s">
        <v>24</v>
      </c>
    </row>
    <row r="41" spans="1:9" x14ac:dyDescent="0.2">
      <c r="A41" s="15" t="s">
        <v>5</v>
      </c>
      <c r="B41" s="22"/>
      <c r="C41" s="22"/>
      <c r="D41" s="16"/>
    </row>
    <row r="42" spans="1:9" x14ac:dyDescent="0.2">
      <c r="A42" s="20"/>
      <c r="B42" s="23"/>
      <c r="C42" s="23"/>
      <c r="D42" s="18"/>
    </row>
    <row r="43" spans="1:9" x14ac:dyDescent="0.2">
      <c r="A43" s="20" t="s">
        <v>35</v>
      </c>
      <c r="B43" s="23"/>
      <c r="C43" s="35" t="s">
        <v>38</v>
      </c>
      <c r="D43" s="18"/>
    </row>
    <row r="44" spans="1:9" x14ac:dyDescent="0.2">
      <c r="A44" s="37" t="s">
        <v>37</v>
      </c>
      <c r="B44" s="25" t="s">
        <v>7</v>
      </c>
      <c r="C44" s="25" t="s">
        <v>39</v>
      </c>
      <c r="D44" s="24" t="s">
        <v>10</v>
      </c>
    </row>
    <row r="45" spans="1:9" x14ac:dyDescent="0.2">
      <c r="A45" s="20" t="s">
        <v>16</v>
      </c>
      <c r="B45" s="39">
        <v>30</v>
      </c>
      <c r="C45" s="40"/>
      <c r="D45" s="41">
        <f>B45</f>
        <v>30</v>
      </c>
    </row>
    <row r="46" spans="1:9" x14ac:dyDescent="0.2">
      <c r="A46" s="20" t="s">
        <v>17</v>
      </c>
      <c r="B46" s="39">
        <f>B45</f>
        <v>30</v>
      </c>
      <c r="C46" s="40"/>
      <c r="D46" s="41">
        <f>B46</f>
        <v>30</v>
      </c>
      <c r="I46" s="23"/>
    </row>
    <row r="47" spans="1:9" x14ac:dyDescent="0.2">
      <c r="A47" s="21" t="s">
        <v>18</v>
      </c>
      <c r="B47" s="43">
        <f>B45/2</f>
        <v>15</v>
      </c>
      <c r="C47" s="56">
        <v>0.5</v>
      </c>
      <c r="D47" s="44">
        <f>B47*(1+C47)</f>
        <v>22.5</v>
      </c>
      <c r="I47" s="23"/>
    </row>
    <row r="48" spans="1:9" x14ac:dyDescent="0.2">
      <c r="F48" s="23"/>
      <c r="G48" s="23"/>
      <c r="H48" s="23"/>
      <c r="I48" s="23"/>
    </row>
    <row r="49" spans="1:3" x14ac:dyDescent="0.2">
      <c r="A49" s="15" t="s">
        <v>9</v>
      </c>
      <c r="B49" s="22"/>
      <c r="C49" s="16"/>
    </row>
    <row r="50" spans="1:3" x14ac:dyDescent="0.2">
      <c r="A50" s="17"/>
      <c r="B50" s="23"/>
      <c r="C50" s="18"/>
    </row>
    <row r="51" spans="1:3" x14ac:dyDescent="0.2">
      <c r="A51" s="20" t="s">
        <v>103</v>
      </c>
      <c r="B51" s="36">
        <v>0.1</v>
      </c>
      <c r="C51" s="18" t="s">
        <v>1</v>
      </c>
    </row>
    <row r="52" spans="1:3" x14ac:dyDescent="0.2">
      <c r="A52" s="20"/>
      <c r="B52" s="38">
        <f>(1+B51)^(1/365)-1</f>
        <v>2.6115787606784124E-4</v>
      </c>
      <c r="C52" s="18" t="s">
        <v>2</v>
      </c>
    </row>
    <row r="53" spans="1:3" x14ac:dyDescent="0.2">
      <c r="A53" s="21" t="s">
        <v>47</v>
      </c>
      <c r="B53" s="42">
        <v>2500</v>
      </c>
      <c r="C53" s="34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/>
  </sheetViews>
  <sheetFormatPr defaultRowHeight="12.75" x14ac:dyDescent="0.2"/>
  <cols>
    <col min="1" max="1" width="13.5703125" style="14" customWidth="1"/>
    <col min="2" max="2" width="11.5703125" style="14" customWidth="1"/>
    <col min="3" max="3" width="10.5703125" style="14" customWidth="1"/>
    <col min="4" max="5" width="13.28515625" style="14" customWidth="1"/>
    <col min="6" max="6" width="3.5703125" style="14" customWidth="1"/>
    <col min="7" max="10" width="9.140625" style="14"/>
    <col min="11" max="11" width="4.28515625" style="14" customWidth="1"/>
    <col min="12" max="15" width="9.140625" style="14"/>
    <col min="16" max="16" width="3.42578125" style="14" customWidth="1"/>
    <col min="17" max="24" width="9.140625" style="14"/>
    <col min="25" max="25" width="4" style="14" customWidth="1"/>
    <col min="26" max="16384" width="9.140625" style="14"/>
  </cols>
  <sheetData>
    <row r="1" spans="1:30" ht="18" x14ac:dyDescent="0.25">
      <c r="A1" s="52" t="s">
        <v>48</v>
      </c>
      <c r="Q1" s="116" t="s">
        <v>36</v>
      </c>
      <c r="R1" s="117"/>
      <c r="S1" s="117"/>
      <c r="T1" s="117"/>
      <c r="U1" s="117"/>
      <c r="V1" s="117"/>
      <c r="W1" s="118">
        <v>85.434384937845081</v>
      </c>
      <c r="AA1" s="53"/>
    </row>
    <row r="2" spans="1:30" ht="15.75" x14ac:dyDescent="0.25">
      <c r="Q2" s="13" t="s">
        <v>56</v>
      </c>
      <c r="Z2" s="97" t="s">
        <v>61</v>
      </c>
      <c r="AA2" s="16"/>
      <c r="AC2" s="97" t="s">
        <v>61</v>
      </c>
      <c r="AD2" s="16"/>
    </row>
    <row r="3" spans="1:30" x14ac:dyDescent="0.2">
      <c r="A3" s="69"/>
      <c r="B3" s="120" t="s">
        <v>50</v>
      </c>
      <c r="C3" s="119"/>
      <c r="D3" s="119"/>
      <c r="E3" s="73"/>
      <c r="G3" s="120" t="s">
        <v>54</v>
      </c>
      <c r="H3" s="119"/>
      <c r="I3" s="119"/>
      <c r="J3" s="121"/>
      <c r="L3" s="120" t="s">
        <v>55</v>
      </c>
      <c r="M3" s="119"/>
      <c r="N3" s="119"/>
      <c r="O3" s="121"/>
      <c r="Q3" s="120" t="s">
        <v>51</v>
      </c>
      <c r="R3" s="119"/>
      <c r="S3" s="119" t="s">
        <v>52</v>
      </c>
      <c r="T3" s="119"/>
      <c r="U3" s="119" t="s">
        <v>53</v>
      </c>
      <c r="V3" s="119"/>
      <c r="W3" s="91" t="s">
        <v>64</v>
      </c>
      <c r="X3" s="73" t="s">
        <v>65</v>
      </c>
      <c r="Z3" s="74" t="s">
        <v>76</v>
      </c>
      <c r="AA3" s="76" t="s">
        <v>62</v>
      </c>
      <c r="AC3" s="74" t="s">
        <v>76</v>
      </c>
      <c r="AD3" s="76" t="s">
        <v>62</v>
      </c>
    </row>
    <row r="4" spans="1:30" x14ac:dyDescent="0.2">
      <c r="A4" s="70" t="s">
        <v>49</v>
      </c>
      <c r="B4" s="74" t="s">
        <v>51</v>
      </c>
      <c r="C4" s="75" t="s">
        <v>52</v>
      </c>
      <c r="D4" s="75" t="s">
        <v>53</v>
      </c>
      <c r="E4" s="76" t="s">
        <v>58</v>
      </c>
      <c r="G4" s="74" t="s">
        <v>16</v>
      </c>
      <c r="H4" s="75" t="s">
        <v>17</v>
      </c>
      <c r="I4" s="75" t="s">
        <v>18</v>
      </c>
      <c r="J4" s="76" t="s">
        <v>0</v>
      </c>
      <c r="L4" s="74" t="s">
        <v>16</v>
      </c>
      <c r="M4" s="75" t="s">
        <v>17</v>
      </c>
      <c r="N4" s="75" t="s">
        <v>18</v>
      </c>
      <c r="O4" s="76" t="s">
        <v>0</v>
      </c>
      <c r="Q4" s="74" t="s">
        <v>59</v>
      </c>
      <c r="R4" s="75" t="s">
        <v>60</v>
      </c>
      <c r="S4" s="92" t="s">
        <v>59</v>
      </c>
      <c r="T4" s="75" t="s">
        <v>60</v>
      </c>
      <c r="U4" s="75" t="s">
        <v>59</v>
      </c>
      <c r="V4" s="75" t="s">
        <v>60</v>
      </c>
      <c r="W4" s="23" t="s">
        <v>57</v>
      </c>
      <c r="X4" s="18" t="s">
        <v>58</v>
      </c>
      <c r="Z4" s="98">
        <f>Parameters!B51</f>
        <v>0.1</v>
      </c>
      <c r="AA4" s="76" t="s">
        <v>63</v>
      </c>
      <c r="AC4" s="74" t="s">
        <v>77</v>
      </c>
      <c r="AD4" s="76" t="s">
        <v>63</v>
      </c>
    </row>
    <row r="5" spans="1:30" x14ac:dyDescent="0.2">
      <c r="A5" s="71">
        <v>0</v>
      </c>
      <c r="B5" s="74" t="str">
        <f>IF(AND(A5&gt;=Parameters!$B$12,A5&lt;=Parameters!$C$12),"Yes","")</f>
        <v/>
      </c>
      <c r="C5" s="75" t="str">
        <f>IF(AND(A5&gt;=Parameters!$B$13,A5&lt;=Parameters!$C$13),"Yes","")</f>
        <v/>
      </c>
      <c r="D5" s="75" t="str">
        <f>IF(AND(A5&gt;=Parameters!$B$14,A5&lt;=Parameters!$C$14),"Yes","")</f>
        <v/>
      </c>
      <c r="E5" s="76" t="str">
        <f>IF(AND(A5&gt;=Parameters!$B$15,A5&lt;=Parameters!$C$15),"Yes","")</f>
        <v/>
      </c>
      <c r="G5" s="80">
        <f>Parameters!B6</f>
        <v>100</v>
      </c>
      <c r="H5" s="81">
        <f>Parameters!B7</f>
        <v>100</v>
      </c>
      <c r="I5" s="81">
        <f>Parameters!B8</f>
        <v>100</v>
      </c>
      <c r="J5" s="82">
        <f>SUM(G5:I5)</f>
        <v>300</v>
      </c>
      <c r="L5" s="83" t="str">
        <f>IF(A5=Parameters!$C$13,$G$51*Parameters!$D$24,IF(D5="Yes",L4*(1-Parameters!$E$27),""))</f>
        <v/>
      </c>
      <c r="M5" s="84" t="str">
        <f>IF(A5=Parameters!$C$13,$H$51*Parameters!$D$24,IF(D5="Yes",M4*(1-Parameters!$E$28),""))</f>
        <v/>
      </c>
      <c r="N5" s="84" t="str">
        <f>IF(A5=Parameters!$C$13,$I$51*Parameters!$D$24,IF(D5="Yes",N4*(1-Parameters!$E$29),""))</f>
        <v/>
      </c>
      <c r="O5" s="89" t="str">
        <f>IF(OR(A5&lt;Parameters!$C$13,A5&gt;Parameters!$C$14),"",SUM(L5:N5))</f>
        <v/>
      </c>
      <c r="Q5" s="74">
        <f>IF(A5=Parameters!$B$12-1,-Parameters!$B$36*J5,"")</f>
        <v>-900</v>
      </c>
      <c r="R5" s="75" t="str">
        <f>IF(AND(A5&gt;=Parameters!$B$12,A5&lt;=Parameters!$C$12),-Parameters!$D$36,"")</f>
        <v/>
      </c>
      <c r="S5" s="23"/>
      <c r="T5" s="75" t="str">
        <f>IF(AND(A5&gt;=Parameters!$B$13,A5&lt;=Parameters!$C$13),-Parameters!$C$39,"")</f>
        <v/>
      </c>
      <c r="U5" s="75" t="str">
        <f>IF(A5=Parameters!C$13,-Parameters!$C$37*O5,"")</f>
        <v/>
      </c>
      <c r="V5" s="75" t="str">
        <f>IF(AND(A5&gt;=Parameters!$B$14,A5&lt;=Parameters!$C$14),-Parameters!$D$37,"")</f>
        <v/>
      </c>
      <c r="W5" s="93">
        <f>IF(A5=0,-G5*$W$1-H5*$W$1-I5*$W$1/2,"")</f>
        <v>-21358.596234461271</v>
      </c>
      <c r="X5" s="94" t="str">
        <f>IF(AND(A5&gt;=Parameters!$B$15,A5&lt;=Parameters!$C$15),($L$47*Parameters!$B$45+$M$47*Parameters!$B$46+$N$47*Parameters!$B$47)*0.5,"")</f>
        <v/>
      </c>
      <c r="Z5" s="99">
        <f>(1+Parameters!$B$52)^-A5</f>
        <v>1</v>
      </c>
      <c r="AA5" s="94">
        <f>SUM(Q5:X5)*Z5</f>
        <v>-22258.596234461271</v>
      </c>
      <c r="AC5" s="99">
        <f>(1+$D$68)^-A5</f>
        <v>1</v>
      </c>
      <c r="AD5" s="94">
        <f>SUM(Q5:X5)*AC5</f>
        <v>-22258.596234461271</v>
      </c>
    </row>
    <row r="6" spans="1:30" x14ac:dyDescent="0.2">
      <c r="A6" s="71">
        <f>A5+1</f>
        <v>1</v>
      </c>
      <c r="B6" s="74" t="str">
        <f>IF(AND(A6&gt;=Parameters!$B$12,A6&lt;=Parameters!$C$12),"Yes","")</f>
        <v>Yes</v>
      </c>
      <c r="C6" s="75" t="str">
        <f>IF(AND(A6&gt;=Parameters!$B$13,A6&lt;=Parameters!$C$13),"Yes","")</f>
        <v/>
      </c>
      <c r="D6" s="75" t="str">
        <f>IF(AND(A6&gt;=Parameters!$B$14,A6&lt;=Parameters!$C$14),"Yes","")</f>
        <v/>
      </c>
      <c r="E6" s="76" t="str">
        <f>IF(AND(A6&gt;=Parameters!$B$15,A6&lt;=Parameters!$C$15),"Yes","")</f>
        <v/>
      </c>
      <c r="G6" s="83">
        <f>IF($B6="Yes",G5-Parameters!$D$20,"")</f>
        <v>97</v>
      </c>
      <c r="H6" s="84">
        <f>IF($B6="Yes",H5-Parameters!$D$21,"")</f>
        <v>98.5</v>
      </c>
      <c r="I6" s="84">
        <f>IF($B6="Yes",I5-Parameters!$D$22,"")</f>
        <v>98.5</v>
      </c>
      <c r="J6" s="85">
        <f>IF(B6="Yes",SUM(G6:I6),"")</f>
        <v>294</v>
      </c>
      <c r="L6" s="83" t="str">
        <f>IF(A6=Parameters!$C$13,$G$51*Parameters!$D$24,IF(D6="Yes",L5*(1-Parameters!$E$27),""))</f>
        <v/>
      </c>
      <c r="M6" s="84" t="str">
        <f>IF(A6=Parameters!$C$13,$H$51*Parameters!$D$24,IF(D6="Yes",M5*(1-Parameters!$E$28),""))</f>
        <v/>
      </c>
      <c r="N6" s="84" t="str">
        <f>IF(A6=Parameters!$C$13,$I$51*Parameters!$D$24,IF(D6="Yes",N5*(1-Parameters!$E$29),""))</f>
        <v/>
      </c>
      <c r="O6" s="89" t="str">
        <f>IF(OR(A6&lt;Parameters!$C$13,A6&gt;Parameters!$C$14),"",SUM(L6:N6))</f>
        <v/>
      </c>
      <c r="Q6" s="74" t="str">
        <f>IF(A6=Parameters!$B$12-1,-Parameters!$B$36*J6,"")</f>
        <v/>
      </c>
      <c r="R6" s="75">
        <f>IF(AND(A6&gt;=Parameters!$B$12,A6&lt;=Parameters!$C$12),-Parameters!$D$36,"")</f>
        <v>-150</v>
      </c>
      <c r="S6" s="23"/>
      <c r="T6" s="75" t="str">
        <f>IF(AND(A6&gt;=Parameters!$B$13,A6&lt;=Parameters!$C$13),-Parameters!$C$39,"")</f>
        <v/>
      </c>
      <c r="U6" s="75" t="str">
        <f>IF(A6=Parameters!C$13,-Parameters!$C$37*O6,"")</f>
        <v/>
      </c>
      <c r="V6" s="75" t="str">
        <f>IF(AND(A6&gt;=Parameters!$B$14,A6&lt;=Parameters!$C$14),-Parameters!$D$37,"")</f>
        <v/>
      </c>
      <c r="W6" s="93" t="str">
        <f t="shared" ref="W6:W49" si="0">IF(A6=0,-G6*$W$1-H6*$W$1-I6*$W$1/2,"")</f>
        <v/>
      </c>
      <c r="X6" s="94" t="str">
        <f>IF(AND(A6&gt;=Parameters!$B$15,A6&lt;=Parameters!$C$15),($L$47*Parameters!$B$45+$M$47*Parameters!$B$46+$N$47*Parameters!$B$47)*0.5,"")</f>
        <v/>
      </c>
      <c r="Z6" s="99">
        <f>(1+Parameters!$B$52)^-A6</f>
        <v>0.99973891030956119</v>
      </c>
      <c r="AA6" s="94">
        <f t="shared" ref="AA6:AA49" si="1">SUM(Q6:X6)*Z6</f>
        <v>-149.96083654643417</v>
      </c>
      <c r="AC6" s="99">
        <f t="shared" ref="AC6:AC49" si="2">(1+$D$68)^-A6</f>
        <v>0.9976527955200819</v>
      </c>
      <c r="AD6" s="94">
        <f t="shared" ref="AD6:AD49" si="3">SUM(Q6:X6)*AC6</f>
        <v>-149.64791932801228</v>
      </c>
    </row>
    <row r="7" spans="1:30" x14ac:dyDescent="0.2">
      <c r="A7" s="71">
        <f t="shared" ref="A7:A46" si="4">A6+1</f>
        <v>2</v>
      </c>
      <c r="B7" s="74" t="str">
        <f>IF(AND(A7&gt;=Parameters!$B$12,A7&lt;=Parameters!$C$12),"Yes","")</f>
        <v>Yes</v>
      </c>
      <c r="C7" s="75" t="str">
        <f>IF(AND(A7&gt;=Parameters!$B$13,A7&lt;=Parameters!$C$13),"Yes","")</f>
        <v/>
      </c>
      <c r="D7" s="75" t="str">
        <f>IF(AND(A7&gt;=Parameters!$B$14,A7&lt;=Parameters!$C$14),"Yes","")</f>
        <v/>
      </c>
      <c r="E7" s="76" t="str">
        <f>IF(AND(A7&gt;=Parameters!$B$15,A7&lt;=Parameters!$C$15),"Yes","")</f>
        <v/>
      </c>
      <c r="G7" s="83">
        <f>IF($B7="Yes",G6-Parameters!$D$20,"")</f>
        <v>94</v>
      </c>
      <c r="H7" s="84">
        <f>IF($B7="Yes",H6-Parameters!$D$21,"")</f>
        <v>97</v>
      </c>
      <c r="I7" s="84">
        <f>IF($B7="Yes",I6-Parameters!$D$22,"")</f>
        <v>97</v>
      </c>
      <c r="J7" s="85">
        <f t="shared" ref="J7:J20" si="5">IF(B7="Yes",SUM(G7:I7),"")</f>
        <v>288</v>
      </c>
      <c r="L7" s="83" t="str">
        <f>IF(A7=Parameters!$C$13,$G$51*Parameters!$D$24,IF(D7="Yes",L6*(1-Parameters!$E$27),""))</f>
        <v/>
      </c>
      <c r="M7" s="84" t="str">
        <f>IF(A7=Parameters!$C$13,$H$51*Parameters!$D$24,IF(D7="Yes",M6*(1-Parameters!$E$28),""))</f>
        <v/>
      </c>
      <c r="N7" s="84" t="str">
        <f>IF(A7=Parameters!$C$13,$I$51*Parameters!$D$24,IF(D7="Yes",N6*(1-Parameters!$E$29),""))</f>
        <v/>
      </c>
      <c r="O7" s="89" t="str">
        <f>IF(OR(A7&lt;Parameters!$C$13,A7&gt;Parameters!$C$14),"",SUM(L7:N7))</f>
        <v/>
      </c>
      <c r="Q7" s="74" t="str">
        <f>IF(A7=Parameters!$B$12-1,-Parameters!$B$36*J7,"")</f>
        <v/>
      </c>
      <c r="R7" s="75">
        <f>IF(AND(A7&gt;=Parameters!$B$12,A7&lt;=Parameters!$C$12),-Parameters!$D$36,"")</f>
        <v>-150</v>
      </c>
      <c r="S7" s="23"/>
      <c r="T7" s="75" t="str">
        <f>IF(AND(A7&gt;=Parameters!$B$13,A7&lt;=Parameters!$C$13),-Parameters!$C$39,"")</f>
        <v/>
      </c>
      <c r="U7" s="75" t="str">
        <f>IF(A7=Parameters!C$13,-Parameters!$C$37*O7,"")</f>
        <v/>
      </c>
      <c r="V7" s="75" t="str">
        <f>IF(AND(A7&gt;=Parameters!$B$14,A7&lt;=Parameters!$C$14),-Parameters!$D$37,"")</f>
        <v/>
      </c>
      <c r="W7" s="93" t="str">
        <f t="shared" si="0"/>
        <v/>
      </c>
      <c r="X7" s="94" t="str">
        <f>IF(AND(A7&gt;=Parameters!$B$15,A7&lt;=Parameters!$C$15),($L$47*Parameters!$B$45+$M$47*Parameters!$B$46+$N$47*Parameters!$B$47)*0.5,"")</f>
        <v/>
      </c>
      <c r="Z7" s="99">
        <f>(1+Parameters!$B$52)^-A7</f>
        <v>0.99947788878694876</v>
      </c>
      <c r="AA7" s="94">
        <f t="shared" si="1"/>
        <v>-149.92168331804231</v>
      </c>
      <c r="AC7" s="99">
        <f t="shared" si="2"/>
        <v>0.99531110040903414</v>
      </c>
      <c r="AD7" s="94">
        <f t="shared" si="3"/>
        <v>-149.29666506135513</v>
      </c>
    </row>
    <row r="8" spans="1:30" x14ac:dyDescent="0.2">
      <c r="A8" s="71">
        <f t="shared" si="4"/>
        <v>3</v>
      </c>
      <c r="B8" s="74" t="str">
        <f>IF(AND(A8&gt;=Parameters!$B$12,A8&lt;=Parameters!$C$12),"Yes","")</f>
        <v>Yes</v>
      </c>
      <c r="C8" s="75" t="str">
        <f>IF(AND(A8&gt;=Parameters!$B$13,A8&lt;=Parameters!$C$13),"Yes","")</f>
        <v/>
      </c>
      <c r="D8" s="75" t="str">
        <f>IF(AND(A8&gt;=Parameters!$B$14,A8&lt;=Parameters!$C$14),"Yes","")</f>
        <v/>
      </c>
      <c r="E8" s="76" t="str">
        <f>IF(AND(A8&gt;=Parameters!$B$15,A8&lt;=Parameters!$C$15),"Yes","")</f>
        <v/>
      </c>
      <c r="G8" s="83">
        <f>IF($B8="Yes",G7-Parameters!$D$20,"")</f>
        <v>91</v>
      </c>
      <c r="H8" s="84">
        <f>IF($B8="Yes",H7-Parameters!$D$21,"")</f>
        <v>95.5</v>
      </c>
      <c r="I8" s="84">
        <f>IF($B8="Yes",I7-Parameters!$D$22,"")</f>
        <v>95.5</v>
      </c>
      <c r="J8" s="85">
        <f t="shared" si="5"/>
        <v>282</v>
      </c>
      <c r="L8" s="83" t="str">
        <f>IF(A8=Parameters!$C$13,$G$51*Parameters!$D$24,IF(D8="Yes",L7*(1-Parameters!$E$27),""))</f>
        <v/>
      </c>
      <c r="M8" s="84" t="str">
        <f>IF(A8=Parameters!$C$13,$H$51*Parameters!$D$24,IF(D8="Yes",M7*(1-Parameters!$E$28),""))</f>
        <v/>
      </c>
      <c r="N8" s="84" t="str">
        <f>IF(A8=Parameters!$C$13,$I$51*Parameters!$D$24,IF(D8="Yes",N7*(1-Parameters!$E$29),""))</f>
        <v/>
      </c>
      <c r="O8" s="89" t="str">
        <f>IF(OR(A8&lt;Parameters!$C$13,A8&gt;Parameters!$C$14),"",SUM(L8:N8))</f>
        <v/>
      </c>
      <c r="Q8" s="74" t="str">
        <f>IF(A8=Parameters!$B$12-1,-Parameters!$B$36*J8,"")</f>
        <v/>
      </c>
      <c r="R8" s="75">
        <f>IF(AND(A8&gt;=Parameters!$B$12,A8&lt;=Parameters!$C$12),-Parameters!$D$36,"")</f>
        <v>-150</v>
      </c>
      <c r="S8" s="23"/>
      <c r="T8" s="75" t="str">
        <f>IF(AND(A8&gt;=Parameters!$B$13,A8&lt;=Parameters!$C$13),-Parameters!$C$39,"")</f>
        <v/>
      </c>
      <c r="U8" s="75" t="str">
        <f>IF(A8=Parameters!C$13,-Parameters!$C$37*O8,"")</f>
        <v/>
      </c>
      <c r="V8" s="75" t="str">
        <f>IF(AND(A8&gt;=Parameters!$B$14,A8&lt;=Parameters!$C$14),-Parameters!$D$37,"")</f>
        <v/>
      </c>
      <c r="W8" s="93" t="str">
        <f t="shared" si="0"/>
        <v/>
      </c>
      <c r="X8" s="94" t="str">
        <f>IF(AND(A8&gt;=Parameters!$B$15,A8&lt;=Parameters!$C$15),($L$47*Parameters!$B$45+$M$47*Parameters!$B$46+$N$47*Parameters!$B$47)*0.5,"")</f>
        <v/>
      </c>
      <c r="Z8" s="99">
        <f>(1+Parameters!$B$52)^-A8</f>
        <v>0.99921693541436485</v>
      </c>
      <c r="AA8" s="94">
        <f t="shared" si="1"/>
        <v>-149.88254031215473</v>
      </c>
      <c r="AC8" s="99">
        <f t="shared" si="2"/>
        <v>0.99297490173524183</v>
      </c>
      <c r="AD8" s="94">
        <f t="shared" si="3"/>
        <v>-148.94623526028627</v>
      </c>
    </row>
    <row r="9" spans="1:30" x14ac:dyDescent="0.2">
      <c r="A9" s="71">
        <f t="shared" si="4"/>
        <v>4</v>
      </c>
      <c r="B9" s="74" t="str">
        <f>IF(AND(A9&gt;=Parameters!$B$12,A9&lt;=Parameters!$C$12),"Yes","")</f>
        <v>Yes</v>
      </c>
      <c r="C9" s="75" t="str">
        <f>IF(AND(A9&gt;=Parameters!$B$13,A9&lt;=Parameters!$C$13),"Yes","")</f>
        <v/>
      </c>
      <c r="D9" s="75" t="str">
        <f>IF(AND(A9&gt;=Parameters!$B$14,A9&lt;=Parameters!$C$14),"Yes","")</f>
        <v/>
      </c>
      <c r="E9" s="76" t="str">
        <f>IF(AND(A9&gt;=Parameters!$B$15,A9&lt;=Parameters!$C$15),"Yes","")</f>
        <v/>
      </c>
      <c r="G9" s="83">
        <f>IF($B9="Yes",G8-Parameters!$D$20,"")</f>
        <v>88</v>
      </c>
      <c r="H9" s="84">
        <f>IF($B9="Yes",H8-Parameters!$D$21,"")</f>
        <v>94</v>
      </c>
      <c r="I9" s="84">
        <f>IF($B9="Yes",I8-Parameters!$D$22,"")</f>
        <v>94</v>
      </c>
      <c r="J9" s="85">
        <f t="shared" si="5"/>
        <v>276</v>
      </c>
      <c r="L9" s="83" t="str">
        <f>IF(A9=Parameters!$C$13,$G$51*Parameters!$D$24,IF(D9="Yes",L8*(1-Parameters!$E$27),""))</f>
        <v/>
      </c>
      <c r="M9" s="84" t="str">
        <f>IF(A9=Parameters!$C$13,$H$51*Parameters!$D$24,IF(D9="Yes",M8*(1-Parameters!$E$28),""))</f>
        <v/>
      </c>
      <c r="N9" s="84" t="str">
        <f>IF(A9=Parameters!$C$13,$I$51*Parameters!$D$24,IF(D9="Yes",N8*(1-Parameters!$E$29),""))</f>
        <v/>
      </c>
      <c r="O9" s="89" t="str">
        <f>IF(OR(A9&lt;Parameters!$C$13,A9&gt;Parameters!$C$14),"",SUM(L9:N9))</f>
        <v/>
      </c>
      <c r="Q9" s="74" t="str">
        <f>IF(A9=Parameters!$B$12-1,-Parameters!$B$36*J9,"")</f>
        <v/>
      </c>
      <c r="R9" s="75">
        <f>IF(AND(A9&gt;=Parameters!$B$12,A9&lt;=Parameters!$C$12),-Parameters!$D$36,"")</f>
        <v>-150</v>
      </c>
      <c r="S9" s="23"/>
      <c r="T9" s="75" t="str">
        <f>IF(AND(A9&gt;=Parameters!$B$13,A9&lt;=Parameters!$C$13),-Parameters!$C$39,"")</f>
        <v/>
      </c>
      <c r="U9" s="75" t="str">
        <f>IF(A9=Parameters!C$13,-Parameters!$C$37*O9,"")</f>
        <v/>
      </c>
      <c r="V9" s="75" t="str">
        <f>IF(AND(A9&gt;=Parameters!$B$14,A9&lt;=Parameters!$C$14),-Parameters!$D$37,"")</f>
        <v/>
      </c>
      <c r="W9" s="93" t="str">
        <f t="shared" si="0"/>
        <v/>
      </c>
      <c r="X9" s="94" t="str">
        <f>IF(AND(A9&gt;=Parameters!$B$15,A9&lt;=Parameters!$C$15),($L$47*Parameters!$B$45+$M$47*Parameters!$B$46+$N$47*Parameters!$B$47)*0.5,"")</f>
        <v/>
      </c>
      <c r="Z9" s="99">
        <f>(1+Parameters!$B$52)^-A9</f>
        <v>0.99895605017401645</v>
      </c>
      <c r="AA9" s="94">
        <f t="shared" si="1"/>
        <v>-149.84340752610248</v>
      </c>
      <c r="AC9" s="99">
        <f t="shared" si="2"/>
        <v>0.99064418659744247</v>
      </c>
      <c r="AD9" s="94">
        <f t="shared" si="3"/>
        <v>-148.59662798961637</v>
      </c>
    </row>
    <row r="10" spans="1:30" x14ac:dyDescent="0.2">
      <c r="A10" s="71">
        <f t="shared" si="4"/>
        <v>5</v>
      </c>
      <c r="B10" s="74" t="str">
        <f>IF(AND(A10&gt;=Parameters!$B$12,A10&lt;=Parameters!$C$12),"Yes","")</f>
        <v>Yes</v>
      </c>
      <c r="C10" s="75" t="str">
        <f>IF(AND(A10&gt;=Parameters!$B$13,A10&lt;=Parameters!$C$13),"Yes","")</f>
        <v/>
      </c>
      <c r="D10" s="75" t="str">
        <f>IF(AND(A10&gt;=Parameters!$B$14,A10&lt;=Parameters!$C$14),"Yes","")</f>
        <v/>
      </c>
      <c r="E10" s="76" t="str">
        <f>IF(AND(A10&gt;=Parameters!$B$15,A10&lt;=Parameters!$C$15),"Yes","")</f>
        <v/>
      </c>
      <c r="G10" s="83">
        <f>IF($B10="Yes",G9-Parameters!$D$20,"")</f>
        <v>85</v>
      </c>
      <c r="H10" s="84">
        <f>IF($B10="Yes",H9-Parameters!$D$21,"")</f>
        <v>92.5</v>
      </c>
      <c r="I10" s="84">
        <f>IF($B10="Yes",I9-Parameters!$D$22,"")</f>
        <v>92.5</v>
      </c>
      <c r="J10" s="85">
        <f t="shared" si="5"/>
        <v>270</v>
      </c>
      <c r="L10" s="83" t="str">
        <f>IF(A10=Parameters!$C$13,$G$51*Parameters!$D$24,IF(D10="Yes",L9*(1-Parameters!$E$27),""))</f>
        <v/>
      </c>
      <c r="M10" s="84" t="str">
        <f>IF(A10=Parameters!$C$13,$H$51*Parameters!$D$24,IF(D10="Yes",M9*(1-Parameters!$E$28),""))</f>
        <v/>
      </c>
      <c r="N10" s="84" t="str">
        <f>IF(A10=Parameters!$C$13,$I$51*Parameters!$D$24,IF(D10="Yes",N9*(1-Parameters!$E$29),""))</f>
        <v/>
      </c>
      <c r="O10" s="89" t="str">
        <f>IF(OR(A10&lt;Parameters!$C$13,A10&gt;Parameters!$C$14),"",SUM(L10:N10))</f>
        <v/>
      </c>
      <c r="Q10" s="74" t="str">
        <f>IF(A10=Parameters!$B$12-1,-Parameters!$B$36*J10,"")</f>
        <v/>
      </c>
      <c r="R10" s="75">
        <f>IF(AND(A10&gt;=Parameters!$B$12,A10&lt;=Parameters!$C$12),-Parameters!$D$36,"")</f>
        <v>-150</v>
      </c>
      <c r="S10" s="23"/>
      <c r="T10" s="75" t="str">
        <f>IF(AND(A10&gt;=Parameters!$B$13,A10&lt;=Parameters!$C$13),-Parameters!$C$39,"")</f>
        <v/>
      </c>
      <c r="U10" s="75" t="str">
        <f>IF(A10=Parameters!C$13,-Parameters!$C$37*O10,"")</f>
        <v/>
      </c>
      <c r="V10" s="75" t="str">
        <f>IF(AND(A10&gt;=Parameters!$B$14,A10&lt;=Parameters!$C$14),-Parameters!$D$37,"")</f>
        <v/>
      </c>
      <c r="W10" s="93" t="str">
        <f t="shared" si="0"/>
        <v/>
      </c>
      <c r="X10" s="94" t="str">
        <f>IF(AND(A10&gt;=Parameters!$B$15,A10&lt;=Parameters!$C$15),($L$47*Parameters!$B$45+$M$47*Parameters!$B$46+$N$47*Parameters!$B$47)*0.5,"")</f>
        <v/>
      </c>
      <c r="Z10" s="99">
        <f>(1+Parameters!$B$52)^-A10</f>
        <v>0.99869523304811447</v>
      </c>
      <c r="AA10" s="94">
        <f t="shared" si="1"/>
        <v>-149.80428495721716</v>
      </c>
      <c r="AC10" s="99">
        <f t="shared" si="2"/>
        <v>0.9883189421246561</v>
      </c>
      <c r="AD10" s="94">
        <f t="shared" si="3"/>
        <v>-148.24784131869842</v>
      </c>
    </row>
    <row r="11" spans="1:30" x14ac:dyDescent="0.2">
      <c r="A11" s="71">
        <f t="shared" si="4"/>
        <v>6</v>
      </c>
      <c r="B11" s="74" t="str">
        <f>IF(AND(A11&gt;=Parameters!$B$12,A11&lt;=Parameters!$C$12),"Yes","")</f>
        <v>Yes</v>
      </c>
      <c r="C11" s="75" t="str">
        <f>IF(AND(A11&gt;=Parameters!$B$13,A11&lt;=Parameters!$C$13),"Yes","")</f>
        <v/>
      </c>
      <c r="D11" s="75" t="str">
        <f>IF(AND(A11&gt;=Parameters!$B$14,A11&lt;=Parameters!$C$14),"Yes","")</f>
        <v/>
      </c>
      <c r="E11" s="76" t="str">
        <f>IF(AND(A11&gt;=Parameters!$B$15,A11&lt;=Parameters!$C$15),"Yes","")</f>
        <v/>
      </c>
      <c r="G11" s="83">
        <f>IF($B11="Yes",G10-Parameters!$D$20,"")</f>
        <v>82</v>
      </c>
      <c r="H11" s="84">
        <f>IF($B11="Yes",H10-Parameters!$D$21,"")</f>
        <v>91</v>
      </c>
      <c r="I11" s="84">
        <f>IF($B11="Yes",I10-Parameters!$D$22,"")</f>
        <v>91</v>
      </c>
      <c r="J11" s="85">
        <f t="shared" si="5"/>
        <v>264</v>
      </c>
      <c r="L11" s="83" t="str">
        <f>IF(A11=Parameters!$C$13,$G$51*Parameters!$D$24,IF(D11="Yes",L10*(1-Parameters!$E$27),""))</f>
        <v/>
      </c>
      <c r="M11" s="84" t="str">
        <f>IF(A11=Parameters!$C$13,$H$51*Parameters!$D$24,IF(D11="Yes",M10*(1-Parameters!$E$28),""))</f>
        <v/>
      </c>
      <c r="N11" s="84" t="str">
        <f>IF(A11=Parameters!$C$13,$I$51*Parameters!$D$24,IF(D11="Yes",N10*(1-Parameters!$E$29),""))</f>
        <v/>
      </c>
      <c r="O11" s="89" t="str">
        <f>IF(OR(A11&lt;Parameters!$C$13,A11&gt;Parameters!$C$14),"",SUM(L11:N11))</f>
        <v/>
      </c>
      <c r="Q11" s="74" t="str">
        <f>IF(A11=Parameters!$B$12-1,-Parameters!$B$36*J11,"")</f>
        <v/>
      </c>
      <c r="R11" s="75">
        <f>IF(AND(A11&gt;=Parameters!$B$12,A11&lt;=Parameters!$C$12),-Parameters!$D$36,"")</f>
        <v>-150</v>
      </c>
      <c r="S11" s="23"/>
      <c r="T11" s="75" t="str">
        <f>IF(AND(A11&gt;=Parameters!$B$13,A11&lt;=Parameters!$C$13),-Parameters!$C$39,"")</f>
        <v/>
      </c>
      <c r="U11" s="75" t="str">
        <f>IF(A11=Parameters!C$13,-Parameters!$C$37*O11,"")</f>
        <v/>
      </c>
      <c r="V11" s="75" t="str">
        <f>IF(AND(A11&gt;=Parameters!$B$14,A11&lt;=Parameters!$C$14),-Parameters!$D$37,"")</f>
        <v/>
      </c>
      <c r="W11" s="93" t="str">
        <f t="shared" si="0"/>
        <v/>
      </c>
      <c r="X11" s="94" t="str">
        <f>IF(AND(A11&gt;=Parameters!$B$15,A11&lt;=Parameters!$C$15),($L$47*Parameters!$B$45+$M$47*Parameters!$B$46+$N$47*Parameters!$B$47)*0.5,"")</f>
        <v/>
      </c>
      <c r="Z11" s="99">
        <f>(1+Parameters!$B$52)^-A11</f>
        <v>0.99843448401887536</v>
      </c>
      <c r="AA11" s="94">
        <f t="shared" si="1"/>
        <v>-149.76517260283131</v>
      </c>
      <c r="AC11" s="99">
        <f t="shared" si="2"/>
        <v>0.98599915547611305</v>
      </c>
      <c r="AD11" s="94">
        <f t="shared" si="3"/>
        <v>-147.89987332141695</v>
      </c>
    </row>
    <row r="12" spans="1:30" x14ac:dyDescent="0.2">
      <c r="A12" s="71">
        <f t="shared" si="4"/>
        <v>7</v>
      </c>
      <c r="B12" s="74" t="str">
        <f>IF(AND(A12&gt;=Parameters!$B$12,A12&lt;=Parameters!$C$12),"Yes","")</f>
        <v>Yes</v>
      </c>
      <c r="C12" s="75" t="str">
        <f>IF(AND(A12&gt;=Parameters!$B$13,A12&lt;=Parameters!$C$13),"Yes","")</f>
        <v/>
      </c>
      <c r="D12" s="75" t="str">
        <f>IF(AND(A12&gt;=Parameters!$B$14,A12&lt;=Parameters!$C$14),"Yes","")</f>
        <v/>
      </c>
      <c r="E12" s="76" t="str">
        <f>IF(AND(A12&gt;=Parameters!$B$15,A12&lt;=Parameters!$C$15),"Yes","")</f>
        <v/>
      </c>
      <c r="G12" s="83">
        <f>IF($B12="Yes",G11-Parameters!$D$20,"")</f>
        <v>79</v>
      </c>
      <c r="H12" s="84">
        <f>IF($B12="Yes",H11-Parameters!$D$21,"")</f>
        <v>89.5</v>
      </c>
      <c r="I12" s="84">
        <f>IF($B12="Yes",I11-Parameters!$D$22,"")</f>
        <v>89.5</v>
      </c>
      <c r="J12" s="85">
        <f t="shared" si="5"/>
        <v>258</v>
      </c>
      <c r="L12" s="83" t="str">
        <f>IF(A12=Parameters!$C$13,$G$51*Parameters!$D$24,IF(D12="Yes",L11*(1-Parameters!$E$27),""))</f>
        <v/>
      </c>
      <c r="M12" s="84" t="str">
        <f>IF(A12=Parameters!$C$13,$H$51*Parameters!$D$24,IF(D12="Yes",M11*(1-Parameters!$E$28),""))</f>
        <v/>
      </c>
      <c r="N12" s="84" t="str">
        <f>IF(A12=Parameters!$C$13,$I$51*Parameters!$D$24,IF(D12="Yes",N11*(1-Parameters!$E$29),""))</f>
        <v/>
      </c>
      <c r="O12" s="89" t="str">
        <f>IF(OR(A12&lt;Parameters!$C$13,A12&gt;Parameters!$C$14),"",SUM(L12:N12))</f>
        <v/>
      </c>
      <c r="Q12" s="74" t="str">
        <f>IF(A12=Parameters!$B$12-1,-Parameters!$B$36*J12,"")</f>
        <v/>
      </c>
      <c r="R12" s="75">
        <f>IF(AND(A12&gt;=Parameters!$B$12,A12&lt;=Parameters!$C$12),-Parameters!$D$36,"")</f>
        <v>-150</v>
      </c>
      <c r="S12" s="23"/>
      <c r="T12" s="75" t="str">
        <f>IF(AND(A12&gt;=Parameters!$B$13,A12&lt;=Parameters!$C$13),-Parameters!$C$39,"")</f>
        <v/>
      </c>
      <c r="U12" s="75" t="str">
        <f>IF(A12=Parameters!C$13,-Parameters!$C$37*O12,"")</f>
        <v/>
      </c>
      <c r="V12" s="75" t="str">
        <f>IF(AND(A12&gt;=Parameters!$B$14,A12&lt;=Parameters!$C$14),-Parameters!$D$37,"")</f>
        <v/>
      </c>
      <c r="W12" s="93" t="str">
        <f t="shared" si="0"/>
        <v/>
      </c>
      <c r="X12" s="94" t="str">
        <f>IF(AND(A12&gt;=Parameters!$B$15,A12&lt;=Parameters!$C$15),($L$47*Parameters!$B$45+$M$47*Parameters!$B$46+$N$47*Parameters!$B$47)*0.5,"")</f>
        <v/>
      </c>
      <c r="Z12" s="99">
        <f>(1+Parameters!$B$52)^-A12</f>
        <v>0.99817380306851911</v>
      </c>
      <c r="AA12" s="94">
        <f t="shared" si="1"/>
        <v>-149.72607046027787</v>
      </c>
      <c r="AC12" s="99">
        <f t="shared" si="2"/>
        <v>0.98368481384118389</v>
      </c>
      <c r="AD12" s="94">
        <f t="shared" si="3"/>
        <v>-147.55272207617759</v>
      </c>
    </row>
    <row r="13" spans="1:30" x14ac:dyDescent="0.2">
      <c r="A13" s="71">
        <f t="shared" si="4"/>
        <v>8</v>
      </c>
      <c r="B13" s="74" t="str">
        <f>IF(AND(A13&gt;=Parameters!$B$12,A13&lt;=Parameters!$C$12),"Yes","")</f>
        <v>Yes</v>
      </c>
      <c r="C13" s="75" t="str">
        <f>IF(AND(A13&gt;=Parameters!$B$13,A13&lt;=Parameters!$C$13),"Yes","")</f>
        <v/>
      </c>
      <c r="D13" s="75" t="str">
        <f>IF(AND(A13&gt;=Parameters!$B$14,A13&lt;=Parameters!$C$14),"Yes","")</f>
        <v/>
      </c>
      <c r="E13" s="76" t="str">
        <f>IF(AND(A13&gt;=Parameters!$B$15,A13&lt;=Parameters!$C$15),"Yes","")</f>
        <v/>
      </c>
      <c r="G13" s="83">
        <f>IF($B13="Yes",G12-Parameters!$D$20,"")</f>
        <v>76</v>
      </c>
      <c r="H13" s="84">
        <f>IF($B13="Yes",H12-Parameters!$D$21,"")</f>
        <v>88</v>
      </c>
      <c r="I13" s="84">
        <f>IF($B13="Yes",I12-Parameters!$D$22,"")</f>
        <v>88</v>
      </c>
      <c r="J13" s="85">
        <f t="shared" si="5"/>
        <v>252</v>
      </c>
      <c r="L13" s="83" t="str">
        <f>IF(A13=Parameters!$C$13,$G$51*Parameters!$D$24,IF(D13="Yes",L12*(1-Parameters!$E$27),""))</f>
        <v/>
      </c>
      <c r="M13" s="84" t="str">
        <f>IF(A13=Parameters!$C$13,$H$51*Parameters!$D$24,IF(D13="Yes",M12*(1-Parameters!$E$28),""))</f>
        <v/>
      </c>
      <c r="N13" s="84" t="str">
        <f>IF(A13=Parameters!$C$13,$I$51*Parameters!$D$24,IF(D13="Yes",N12*(1-Parameters!$E$29),""))</f>
        <v/>
      </c>
      <c r="O13" s="89" t="str">
        <f>IF(OR(A13&lt;Parameters!$C$13,A13&gt;Parameters!$C$14),"",SUM(L13:N13))</f>
        <v/>
      </c>
      <c r="Q13" s="74" t="str">
        <f>IF(A13=Parameters!$B$12-1,-Parameters!$B$36*J13,"")</f>
        <v/>
      </c>
      <c r="R13" s="75">
        <f>IF(AND(A13&gt;=Parameters!$B$12,A13&lt;=Parameters!$C$12),-Parameters!$D$36,"")</f>
        <v>-150</v>
      </c>
      <c r="S13" s="23"/>
      <c r="T13" s="75" t="str">
        <f>IF(AND(A13&gt;=Parameters!$B$13,A13&lt;=Parameters!$C$13),-Parameters!$C$39,"")</f>
        <v/>
      </c>
      <c r="U13" s="75" t="str">
        <f>IF(A13=Parameters!C$13,-Parameters!$C$37*O13,"")</f>
        <v/>
      </c>
      <c r="V13" s="75" t="str">
        <f>IF(AND(A13&gt;=Parameters!$B$14,A13&lt;=Parameters!$C$14),-Parameters!$D$37,"")</f>
        <v/>
      </c>
      <c r="W13" s="93" t="str">
        <f t="shared" si="0"/>
        <v/>
      </c>
      <c r="X13" s="94" t="str">
        <f>IF(AND(A13&gt;=Parameters!$B$15,A13&lt;=Parameters!$C$15),($L$47*Parameters!$B$45+$M$47*Parameters!$B$46+$N$47*Parameters!$B$47)*0.5,"")</f>
        <v/>
      </c>
      <c r="Z13" s="99">
        <f>(1+Parameters!$B$52)^-A13</f>
        <v>0.99791319017927205</v>
      </c>
      <c r="AA13" s="94">
        <f t="shared" si="1"/>
        <v>-149.68697852689081</v>
      </c>
      <c r="AC13" s="99">
        <f t="shared" si="2"/>
        <v>0.98137590443930833</v>
      </c>
      <c r="AD13" s="94">
        <f t="shared" si="3"/>
        <v>-147.20638566589625</v>
      </c>
    </row>
    <row r="14" spans="1:30" x14ac:dyDescent="0.2">
      <c r="A14" s="71">
        <f t="shared" si="4"/>
        <v>9</v>
      </c>
      <c r="B14" s="74" t="str">
        <f>IF(AND(A14&gt;=Parameters!$B$12,A14&lt;=Parameters!$C$12),"Yes","")</f>
        <v>Yes</v>
      </c>
      <c r="C14" s="75" t="str">
        <f>IF(AND(A14&gt;=Parameters!$B$13,A14&lt;=Parameters!$C$13),"Yes","")</f>
        <v/>
      </c>
      <c r="D14" s="75" t="str">
        <f>IF(AND(A14&gt;=Parameters!$B$14,A14&lt;=Parameters!$C$14),"Yes","")</f>
        <v/>
      </c>
      <c r="E14" s="76" t="str">
        <f>IF(AND(A14&gt;=Parameters!$B$15,A14&lt;=Parameters!$C$15),"Yes","")</f>
        <v/>
      </c>
      <c r="G14" s="83">
        <f>IF($B14="Yes",G13-Parameters!$D$20,"")</f>
        <v>73</v>
      </c>
      <c r="H14" s="84">
        <f>IF($B14="Yes",H13-Parameters!$D$21,"")</f>
        <v>86.5</v>
      </c>
      <c r="I14" s="84">
        <f>IF($B14="Yes",I13-Parameters!$D$22,"")</f>
        <v>86.5</v>
      </c>
      <c r="J14" s="85">
        <f t="shared" si="5"/>
        <v>246</v>
      </c>
      <c r="L14" s="83" t="str">
        <f>IF(A14=Parameters!$C$13,$G$51*Parameters!$D$24,IF(D14="Yes",L13*(1-Parameters!$E$27),""))</f>
        <v/>
      </c>
      <c r="M14" s="84" t="str">
        <f>IF(A14=Parameters!$C$13,$H$51*Parameters!$D$24,IF(D14="Yes",M13*(1-Parameters!$E$28),""))</f>
        <v/>
      </c>
      <c r="N14" s="84" t="str">
        <f>IF(A14=Parameters!$C$13,$I$51*Parameters!$D$24,IF(D14="Yes",N13*(1-Parameters!$E$29),""))</f>
        <v/>
      </c>
      <c r="O14" s="89" t="str">
        <f>IF(OR(A14&lt;Parameters!$C$13,A14&gt;Parameters!$C$14),"",SUM(L14:N14))</f>
        <v/>
      </c>
      <c r="Q14" s="74" t="str">
        <f>IF(A14=Parameters!$B$12-1,-Parameters!$B$36*J14,"")</f>
        <v/>
      </c>
      <c r="R14" s="75">
        <f>IF(AND(A14&gt;=Parameters!$B$12,A14&lt;=Parameters!$C$12),-Parameters!$D$36,"")</f>
        <v>-150</v>
      </c>
      <c r="S14" s="23"/>
      <c r="T14" s="75" t="str">
        <f>IF(AND(A14&gt;=Parameters!$B$13,A14&lt;=Parameters!$C$13),-Parameters!$C$39,"")</f>
        <v/>
      </c>
      <c r="U14" s="75" t="str">
        <f>IF(A14=Parameters!C$13,-Parameters!$C$37*O14,"")</f>
        <v/>
      </c>
      <c r="V14" s="75" t="str">
        <f>IF(AND(A14&gt;=Parameters!$B$14,A14&lt;=Parameters!$C$14),-Parameters!$D$37,"")</f>
        <v/>
      </c>
      <c r="W14" s="93" t="str">
        <f t="shared" si="0"/>
        <v/>
      </c>
      <c r="X14" s="94" t="str">
        <f>IF(AND(A14&gt;=Parameters!$B$15,A14&lt;=Parameters!$C$15),($L$47*Parameters!$B$45+$M$47*Parameters!$B$46+$N$47*Parameters!$B$47)*0.5,"")</f>
        <v/>
      </c>
      <c r="Z14" s="99">
        <f>(1+Parameters!$B$52)^-A14</f>
        <v>0.99765264533336329</v>
      </c>
      <c r="AA14" s="94">
        <f t="shared" si="1"/>
        <v>-149.6478968000045</v>
      </c>
      <c r="AC14" s="99">
        <f t="shared" si="2"/>
        <v>0.97907241451992466</v>
      </c>
      <c r="AD14" s="94">
        <f t="shared" si="3"/>
        <v>-146.86086217798871</v>
      </c>
    </row>
    <row r="15" spans="1:30" x14ac:dyDescent="0.2">
      <c r="A15" s="71">
        <f t="shared" si="4"/>
        <v>10</v>
      </c>
      <c r="B15" s="74" t="str">
        <f>IF(AND(A15&gt;=Parameters!$B$12,A15&lt;=Parameters!$C$12),"Yes","")</f>
        <v>Yes</v>
      </c>
      <c r="C15" s="75" t="str">
        <f>IF(AND(A15&gt;=Parameters!$B$13,A15&lt;=Parameters!$C$13),"Yes","")</f>
        <v/>
      </c>
      <c r="D15" s="75" t="str">
        <f>IF(AND(A15&gt;=Parameters!$B$14,A15&lt;=Parameters!$C$14),"Yes","")</f>
        <v/>
      </c>
      <c r="E15" s="76" t="str">
        <f>IF(AND(A15&gt;=Parameters!$B$15,A15&lt;=Parameters!$C$15),"Yes","")</f>
        <v/>
      </c>
      <c r="G15" s="83">
        <f>IF($B15="Yes",G14-Parameters!$D$20,"")</f>
        <v>70</v>
      </c>
      <c r="H15" s="84">
        <f>IF($B15="Yes",H14-Parameters!$D$21,"")</f>
        <v>85</v>
      </c>
      <c r="I15" s="84">
        <f>IF($B15="Yes",I14-Parameters!$D$22,"")</f>
        <v>85</v>
      </c>
      <c r="J15" s="85">
        <f t="shared" si="5"/>
        <v>240</v>
      </c>
      <c r="L15" s="83" t="str">
        <f>IF(A15=Parameters!$C$13,$G$51*Parameters!$D$24,IF(D15="Yes",L14*(1-Parameters!$E$27),""))</f>
        <v/>
      </c>
      <c r="M15" s="84" t="str">
        <f>IF(A15=Parameters!$C$13,$H$51*Parameters!$D$24,IF(D15="Yes",M14*(1-Parameters!$E$28),""))</f>
        <v/>
      </c>
      <c r="N15" s="84" t="str">
        <f>IF(A15=Parameters!$C$13,$I$51*Parameters!$D$24,IF(D15="Yes",N14*(1-Parameters!$E$29),""))</f>
        <v/>
      </c>
      <c r="O15" s="89" t="str">
        <f>IF(OR(A15&lt;Parameters!$C$13,A15&gt;Parameters!$C$14),"",SUM(L15:N15))</f>
        <v/>
      </c>
      <c r="Q15" s="74" t="str">
        <f>IF(A15=Parameters!$B$12-1,-Parameters!$B$36*J15,"")</f>
        <v/>
      </c>
      <c r="R15" s="75">
        <f>IF(AND(A15&gt;=Parameters!$B$12,A15&lt;=Parameters!$C$12),-Parameters!$D$36,"")</f>
        <v>-150</v>
      </c>
      <c r="S15" s="23"/>
      <c r="T15" s="75" t="str">
        <f>IF(AND(A15&gt;=Parameters!$B$13,A15&lt;=Parameters!$C$13),-Parameters!$C$39,"")</f>
        <v/>
      </c>
      <c r="U15" s="75" t="str">
        <f>IF(A15=Parameters!C$13,-Parameters!$C$37*O15,"")</f>
        <v/>
      </c>
      <c r="V15" s="75" t="str">
        <f>IF(AND(A15&gt;=Parameters!$B$14,A15&lt;=Parameters!$C$14),-Parameters!$D$37,"")</f>
        <v/>
      </c>
      <c r="W15" s="93" t="str">
        <f t="shared" si="0"/>
        <v/>
      </c>
      <c r="X15" s="94" t="str">
        <f>IF(AND(A15&gt;=Parameters!$B$15,A15&lt;=Parameters!$C$15),($L$47*Parameters!$B$45+$M$47*Parameters!$B$46+$N$47*Parameters!$B$47)*0.5,"")</f>
        <v/>
      </c>
      <c r="Z15" s="99">
        <f>(1+Parameters!$B$52)^-A15</f>
        <v>0.99739216851302781</v>
      </c>
      <c r="AA15" s="94">
        <f t="shared" si="1"/>
        <v>-149.60882527695418</v>
      </c>
      <c r="AC15" s="99">
        <f t="shared" si="2"/>
        <v>0.97677433136239911</v>
      </c>
      <c r="AD15" s="94">
        <f t="shared" si="3"/>
        <v>-146.51614970435986</v>
      </c>
    </row>
    <row r="16" spans="1:30" x14ac:dyDescent="0.2">
      <c r="A16" s="71">
        <f t="shared" si="4"/>
        <v>11</v>
      </c>
      <c r="B16" s="74" t="str">
        <f>IF(AND(A16&gt;=Parameters!$B$12,A16&lt;=Parameters!$C$12),"Yes","")</f>
        <v>Yes</v>
      </c>
      <c r="C16" s="75" t="str">
        <f>IF(AND(A16&gt;=Parameters!$B$13,A16&lt;=Parameters!$C$13),"Yes","")</f>
        <v/>
      </c>
      <c r="D16" s="75" t="str">
        <f>IF(AND(A16&gt;=Parameters!$B$14,A16&lt;=Parameters!$C$14),"Yes","")</f>
        <v/>
      </c>
      <c r="E16" s="76" t="str">
        <f>IF(AND(A16&gt;=Parameters!$B$15,A16&lt;=Parameters!$C$15),"Yes","")</f>
        <v/>
      </c>
      <c r="G16" s="83">
        <f>IF($B16="Yes",G15-Parameters!$D$20,"")</f>
        <v>67</v>
      </c>
      <c r="H16" s="84">
        <f>IF($B16="Yes",H15-Parameters!$D$21,"")</f>
        <v>83.5</v>
      </c>
      <c r="I16" s="84">
        <f>IF($B16="Yes",I15-Parameters!$D$22,"")</f>
        <v>83.5</v>
      </c>
      <c r="J16" s="85">
        <f t="shared" si="5"/>
        <v>234</v>
      </c>
      <c r="L16" s="83" t="str">
        <f>IF(A16=Parameters!$C$13,$G$51*Parameters!$D$24,IF(D16="Yes",L15*(1-Parameters!$E$27),""))</f>
        <v/>
      </c>
      <c r="M16" s="84" t="str">
        <f>IF(A16=Parameters!$C$13,$H$51*Parameters!$D$24,IF(D16="Yes",M15*(1-Parameters!$E$28),""))</f>
        <v/>
      </c>
      <c r="N16" s="84" t="str">
        <f>IF(A16=Parameters!$C$13,$I$51*Parameters!$D$24,IF(D16="Yes",N15*(1-Parameters!$E$29),""))</f>
        <v/>
      </c>
      <c r="O16" s="89" t="str">
        <f>IF(OR(A16&lt;Parameters!$C$13,A16&gt;Parameters!$C$14),"",SUM(L16:N16))</f>
        <v/>
      </c>
      <c r="Q16" s="74" t="str">
        <f>IF(A16=Parameters!$B$12-1,-Parameters!$B$36*J16,"")</f>
        <v/>
      </c>
      <c r="R16" s="75">
        <f>IF(AND(A16&gt;=Parameters!$B$12,A16&lt;=Parameters!$C$12),-Parameters!$D$36,"")</f>
        <v>-150</v>
      </c>
      <c r="S16" s="23"/>
      <c r="T16" s="75" t="str">
        <f>IF(AND(A16&gt;=Parameters!$B$13,A16&lt;=Parameters!$C$13),-Parameters!$C$39,"")</f>
        <v/>
      </c>
      <c r="U16" s="75" t="str">
        <f>IF(A16=Parameters!C$13,-Parameters!$C$37*O16,"")</f>
        <v/>
      </c>
      <c r="V16" s="75" t="str">
        <f>IF(AND(A16&gt;=Parameters!$B$14,A16&lt;=Parameters!$C$14),-Parameters!$D$37,"")</f>
        <v/>
      </c>
      <c r="W16" s="93" t="str">
        <f t="shared" si="0"/>
        <v/>
      </c>
      <c r="X16" s="94" t="str">
        <f>IF(AND(A16&gt;=Parameters!$B$15,A16&lt;=Parameters!$C$15),($L$47*Parameters!$B$45+$M$47*Parameters!$B$46+$N$47*Parameters!$B$47)*0.5,"")</f>
        <v/>
      </c>
      <c r="Z16" s="99">
        <f>(1+Parameters!$B$52)^-A16</f>
        <v>0.99713175970050438</v>
      </c>
      <c r="AA16" s="94">
        <f t="shared" si="1"/>
        <v>-149.56976395507564</v>
      </c>
      <c r="AC16" s="99">
        <f t="shared" si="2"/>
        <v>0.97448164227595624</v>
      </c>
      <c r="AD16" s="94">
        <f t="shared" si="3"/>
        <v>-146.17224634139345</v>
      </c>
    </row>
    <row r="17" spans="1:30" x14ac:dyDescent="0.2">
      <c r="A17" s="71">
        <f t="shared" si="4"/>
        <v>12</v>
      </c>
      <c r="B17" s="74" t="str">
        <f>IF(AND(A17&gt;=Parameters!$B$12,A17&lt;=Parameters!$C$12),"Yes","")</f>
        <v>Yes</v>
      </c>
      <c r="C17" s="75" t="str">
        <f>IF(AND(A17&gt;=Parameters!$B$13,A17&lt;=Parameters!$C$13),"Yes","")</f>
        <v/>
      </c>
      <c r="D17" s="75" t="str">
        <f>IF(AND(A17&gt;=Parameters!$B$14,A17&lt;=Parameters!$C$14),"Yes","")</f>
        <v/>
      </c>
      <c r="E17" s="76" t="str">
        <f>IF(AND(A17&gt;=Parameters!$B$15,A17&lt;=Parameters!$C$15),"Yes","")</f>
        <v/>
      </c>
      <c r="G17" s="83">
        <f>IF($B17="Yes",G16-Parameters!$D$20,"")</f>
        <v>64</v>
      </c>
      <c r="H17" s="84">
        <f>IF($B17="Yes",H16-Parameters!$D$21,"")</f>
        <v>82</v>
      </c>
      <c r="I17" s="84">
        <f>IF($B17="Yes",I16-Parameters!$D$22,"")</f>
        <v>82</v>
      </c>
      <c r="J17" s="85">
        <f t="shared" si="5"/>
        <v>228</v>
      </c>
      <c r="L17" s="83" t="str">
        <f>IF(A17=Parameters!$C$13,$G$51*Parameters!$D$24,IF(D17="Yes",L16*(1-Parameters!$E$27),""))</f>
        <v/>
      </c>
      <c r="M17" s="84" t="str">
        <f>IF(A17=Parameters!$C$13,$H$51*Parameters!$D$24,IF(D17="Yes",M16*(1-Parameters!$E$28),""))</f>
        <v/>
      </c>
      <c r="N17" s="84" t="str">
        <f>IF(A17=Parameters!$C$13,$I$51*Parameters!$D$24,IF(D17="Yes",N16*(1-Parameters!$E$29),""))</f>
        <v/>
      </c>
      <c r="O17" s="89" t="str">
        <f>IF(OR(A17&lt;Parameters!$C$13,A17&gt;Parameters!$C$14),"",SUM(L17:N17))</f>
        <v/>
      </c>
      <c r="Q17" s="74" t="str">
        <f>IF(A17=Parameters!$B$12-1,-Parameters!$B$36*J17,"")</f>
        <v/>
      </c>
      <c r="R17" s="75">
        <f>IF(AND(A17&gt;=Parameters!$B$12,A17&lt;=Parameters!$C$12),-Parameters!$D$36,"")</f>
        <v>-150</v>
      </c>
      <c r="S17" s="23"/>
      <c r="T17" s="75" t="str">
        <f>IF(AND(A17&gt;=Parameters!$B$13,A17&lt;=Parameters!$C$13),-Parameters!$C$39,"")</f>
        <v/>
      </c>
      <c r="U17" s="75" t="str">
        <f>IF(A17=Parameters!C$13,-Parameters!$C$37*O17,"")</f>
        <v/>
      </c>
      <c r="V17" s="75" t="str">
        <f>IF(AND(A17&gt;=Parameters!$B$14,A17&lt;=Parameters!$C$14),-Parameters!$D$37,"")</f>
        <v/>
      </c>
      <c r="W17" s="93" t="str">
        <f t="shared" si="0"/>
        <v/>
      </c>
      <c r="X17" s="94" t="str">
        <f>IF(AND(A17&gt;=Parameters!$B$15,A17&lt;=Parameters!$C$15),($L$47*Parameters!$B$45+$M$47*Parameters!$B$46+$N$47*Parameters!$B$47)*0.5,"")</f>
        <v/>
      </c>
      <c r="Z17" s="99">
        <f>(1+Parameters!$B$52)^-A17</f>
        <v>0.99687141887803754</v>
      </c>
      <c r="AA17" s="94">
        <f t="shared" si="1"/>
        <v>-149.53071283170564</v>
      </c>
      <c r="AC17" s="99">
        <f t="shared" si="2"/>
        <v>0.97219433459960802</v>
      </c>
      <c r="AD17" s="94">
        <f t="shared" si="3"/>
        <v>-145.8291501899412</v>
      </c>
    </row>
    <row r="18" spans="1:30" x14ac:dyDescent="0.2">
      <c r="A18" s="71">
        <f t="shared" si="4"/>
        <v>13</v>
      </c>
      <c r="B18" s="74" t="str">
        <f>IF(AND(A18&gt;=Parameters!$B$12,A18&lt;=Parameters!$C$12),"Yes","")</f>
        <v>Yes</v>
      </c>
      <c r="C18" s="75" t="str">
        <f>IF(AND(A18&gt;=Parameters!$B$13,A18&lt;=Parameters!$C$13),"Yes","")</f>
        <v/>
      </c>
      <c r="D18" s="75" t="str">
        <f>IF(AND(A18&gt;=Parameters!$B$14,A18&lt;=Parameters!$C$14),"Yes","")</f>
        <v/>
      </c>
      <c r="E18" s="76" t="str">
        <f>IF(AND(A18&gt;=Parameters!$B$15,A18&lt;=Parameters!$C$15),"Yes","")</f>
        <v/>
      </c>
      <c r="G18" s="83">
        <f>IF($B18="Yes",G17-Parameters!$D$20,"")</f>
        <v>61</v>
      </c>
      <c r="H18" s="84">
        <f>IF($B18="Yes",H17-Parameters!$D$21,"")</f>
        <v>80.5</v>
      </c>
      <c r="I18" s="84">
        <f>IF($B18="Yes",I17-Parameters!$D$22,"")</f>
        <v>80.5</v>
      </c>
      <c r="J18" s="85">
        <f t="shared" si="5"/>
        <v>222</v>
      </c>
      <c r="L18" s="83" t="str">
        <f>IF(A18=Parameters!$C$13,$G$51*Parameters!$D$24,IF(D18="Yes",L17*(1-Parameters!$E$27),""))</f>
        <v/>
      </c>
      <c r="M18" s="84" t="str">
        <f>IF(A18=Parameters!$C$13,$H$51*Parameters!$D$24,IF(D18="Yes",M17*(1-Parameters!$E$28),""))</f>
        <v/>
      </c>
      <c r="N18" s="84" t="str">
        <f>IF(A18=Parameters!$C$13,$I$51*Parameters!$D$24,IF(D18="Yes",N17*(1-Parameters!$E$29),""))</f>
        <v/>
      </c>
      <c r="O18" s="89" t="str">
        <f>IF(OR(A18&lt;Parameters!$C$13,A18&gt;Parameters!$C$14),"",SUM(L18:N18))</f>
        <v/>
      </c>
      <c r="Q18" s="74" t="str">
        <f>IF(A18=Parameters!$B$12-1,-Parameters!$B$36*J18,"")</f>
        <v/>
      </c>
      <c r="R18" s="75">
        <f>IF(AND(A18&gt;=Parameters!$B$12,A18&lt;=Parameters!$C$12),-Parameters!$D$36,"")</f>
        <v>-150</v>
      </c>
      <c r="S18" s="23"/>
      <c r="T18" s="75" t="str">
        <f>IF(AND(A18&gt;=Parameters!$B$13,A18&lt;=Parameters!$C$13),-Parameters!$C$39,"")</f>
        <v/>
      </c>
      <c r="U18" s="75" t="str">
        <f>IF(A18=Parameters!C$13,-Parameters!$C$37*O18,"")</f>
        <v/>
      </c>
      <c r="V18" s="75" t="str">
        <f>IF(AND(A18&gt;=Parameters!$B$14,A18&lt;=Parameters!$C$14),-Parameters!$D$37,"")</f>
        <v/>
      </c>
      <c r="W18" s="93" t="str">
        <f t="shared" si="0"/>
        <v/>
      </c>
      <c r="X18" s="94" t="str">
        <f>IF(AND(A18&gt;=Parameters!$B$15,A18&lt;=Parameters!$C$15),($L$47*Parameters!$B$45+$M$47*Parameters!$B$46+$N$47*Parameters!$B$47)*0.5,"")</f>
        <v/>
      </c>
      <c r="Z18" s="99">
        <f>(1+Parameters!$B$52)^-A18</f>
        <v>0.99661114602787537</v>
      </c>
      <c r="AA18" s="94">
        <f t="shared" si="1"/>
        <v>-149.49167190418132</v>
      </c>
      <c r="AC18" s="99">
        <f t="shared" si="2"/>
        <v>0.96991239570208487</v>
      </c>
      <c r="AD18" s="94">
        <f t="shared" si="3"/>
        <v>-145.48685935531273</v>
      </c>
    </row>
    <row r="19" spans="1:30" x14ac:dyDescent="0.2">
      <c r="A19" s="71">
        <f t="shared" si="4"/>
        <v>14</v>
      </c>
      <c r="B19" s="74" t="str">
        <f>IF(AND(A19&gt;=Parameters!$B$12,A19&lt;=Parameters!$C$12),"Yes","")</f>
        <v>Yes</v>
      </c>
      <c r="C19" s="75" t="str">
        <f>IF(AND(A19&gt;=Parameters!$B$13,A19&lt;=Parameters!$C$13),"Yes","")</f>
        <v/>
      </c>
      <c r="D19" s="75" t="str">
        <f>IF(AND(A19&gt;=Parameters!$B$14,A19&lt;=Parameters!$C$14),"Yes","")</f>
        <v/>
      </c>
      <c r="E19" s="76" t="str">
        <f>IF(AND(A19&gt;=Parameters!$B$15,A19&lt;=Parameters!$C$15),"Yes","")</f>
        <v/>
      </c>
      <c r="G19" s="83">
        <f>IF($B19="Yes",G18-Parameters!$D$20,"")</f>
        <v>58</v>
      </c>
      <c r="H19" s="84">
        <f>IF($B19="Yes",H18-Parameters!$D$21,"")</f>
        <v>79</v>
      </c>
      <c r="I19" s="84">
        <f>IF($B19="Yes",I18-Parameters!$D$22,"")</f>
        <v>79</v>
      </c>
      <c r="J19" s="85">
        <f t="shared" si="5"/>
        <v>216</v>
      </c>
      <c r="L19" s="83" t="str">
        <f>IF(A19=Parameters!$C$13,$G$51*Parameters!$D$24,IF(D19="Yes",L18*(1-Parameters!$E$27),""))</f>
        <v/>
      </c>
      <c r="M19" s="84" t="str">
        <f>IF(A19=Parameters!$C$13,$H$51*Parameters!$D$24,IF(D19="Yes",M18*(1-Parameters!$E$28),""))</f>
        <v/>
      </c>
      <c r="N19" s="84" t="str">
        <f>IF(A19=Parameters!$C$13,$I$51*Parameters!$D$24,IF(D19="Yes",N18*(1-Parameters!$E$29),""))</f>
        <v/>
      </c>
      <c r="O19" s="89" t="str">
        <f>IF(OR(A19&lt;Parameters!$C$13,A19&gt;Parameters!$C$14),"",SUM(L19:N19))</f>
        <v/>
      </c>
      <c r="Q19" s="74" t="str">
        <f>IF(A19=Parameters!$B$12-1,-Parameters!$B$36*J19,"")</f>
        <v/>
      </c>
      <c r="R19" s="75">
        <f>IF(AND(A19&gt;=Parameters!$B$12,A19&lt;=Parameters!$C$12),-Parameters!$D$36,"")</f>
        <v>-150</v>
      </c>
      <c r="S19" s="23"/>
      <c r="T19" s="75" t="str">
        <f>IF(AND(A19&gt;=Parameters!$B$13,A19&lt;=Parameters!$C$13),-Parameters!$C$39,"")</f>
        <v/>
      </c>
      <c r="U19" s="75" t="str">
        <f>IF(A19=Parameters!C$13,-Parameters!$C$37*O19,"")</f>
        <v/>
      </c>
      <c r="V19" s="75" t="str">
        <f>IF(AND(A19&gt;=Parameters!$B$14,A19&lt;=Parameters!$C$14),-Parameters!$D$37,"")</f>
        <v/>
      </c>
      <c r="W19" s="93" t="str">
        <f t="shared" si="0"/>
        <v/>
      </c>
      <c r="X19" s="94" t="str">
        <f>IF(AND(A19&gt;=Parameters!$B$15,A19&lt;=Parameters!$C$15),($L$47*Parameters!$B$45+$M$47*Parameters!$B$46+$N$47*Parameters!$B$47)*0.5,"")</f>
        <v/>
      </c>
      <c r="Z19" s="99">
        <f>(1+Parameters!$B$52)^-A19</f>
        <v>0.99635094113227129</v>
      </c>
      <c r="AA19" s="94">
        <f t="shared" si="1"/>
        <v>-149.45264116984069</v>
      </c>
      <c r="AC19" s="99">
        <f t="shared" si="2"/>
        <v>0.9676358129817646</v>
      </c>
      <c r="AD19" s="94">
        <f t="shared" si="3"/>
        <v>-145.14537194726469</v>
      </c>
    </row>
    <row r="20" spans="1:30" x14ac:dyDescent="0.2">
      <c r="A20" s="71">
        <f t="shared" si="4"/>
        <v>15</v>
      </c>
      <c r="B20" s="74" t="str">
        <f>IF(AND(A20&gt;=Parameters!$B$12,A20&lt;=Parameters!$C$12),"Yes","")</f>
        <v>Yes</v>
      </c>
      <c r="C20" s="75" t="str">
        <f>IF(AND(A20&gt;=Parameters!$B$13,A20&lt;=Parameters!$C$13),"Yes","")</f>
        <v/>
      </c>
      <c r="D20" s="75" t="str">
        <f>IF(AND(A20&gt;=Parameters!$B$14,A20&lt;=Parameters!$C$14),"Yes","")</f>
        <v/>
      </c>
      <c r="E20" s="76" t="str">
        <f>IF(AND(A20&gt;=Parameters!$B$15,A20&lt;=Parameters!$C$15),"Yes","")</f>
        <v/>
      </c>
      <c r="G20" s="83">
        <f>IF($B20="Yes",G19-Parameters!$D$20,"")</f>
        <v>55</v>
      </c>
      <c r="H20" s="84">
        <f>IF($B20="Yes",H19-Parameters!$D$21,"")</f>
        <v>77.5</v>
      </c>
      <c r="I20" s="84">
        <f>IF($B20="Yes",I19-Parameters!$D$22,"")</f>
        <v>77.5</v>
      </c>
      <c r="J20" s="85">
        <f t="shared" si="5"/>
        <v>210</v>
      </c>
      <c r="L20" s="83" t="str">
        <f>IF(A20=Parameters!$C$13,$G$51*Parameters!$D$24,IF(D20="Yes",L19*(1-Parameters!$E$27),""))</f>
        <v/>
      </c>
      <c r="M20" s="84" t="str">
        <f>IF(A20=Parameters!$C$13,$H$51*Parameters!$D$24,IF(D20="Yes",M19*(1-Parameters!$E$28),""))</f>
        <v/>
      </c>
      <c r="N20" s="84" t="str">
        <f>IF(A20=Parameters!$C$13,$I$51*Parameters!$D$24,IF(D20="Yes",N19*(1-Parameters!$E$29),""))</f>
        <v/>
      </c>
      <c r="O20" s="89" t="str">
        <f>IF(OR(A20&lt;Parameters!$C$13,A20&gt;Parameters!$C$14),"",SUM(L20:N20))</f>
        <v/>
      </c>
      <c r="Q20" s="74" t="str">
        <f>IF(A20=Parameters!$B$12-1,-Parameters!$B$36*J20,"")</f>
        <v/>
      </c>
      <c r="R20" s="75">
        <f>IF(AND(A20&gt;=Parameters!$B$12,A20&lt;=Parameters!$C$12),-Parameters!$D$36,"")</f>
        <v>-150</v>
      </c>
      <c r="S20" s="23"/>
      <c r="T20" s="75" t="str">
        <f>IF(AND(A20&gt;=Parameters!$B$13,A20&lt;=Parameters!$C$13),-Parameters!$C$39,"")</f>
        <v/>
      </c>
      <c r="U20" s="75" t="str">
        <f>IF(A20=Parameters!C$13,-Parameters!$C$37*O20,"")</f>
        <v/>
      </c>
      <c r="V20" s="75" t="str">
        <f>IF(AND(A20&gt;=Parameters!$B$14,A20&lt;=Parameters!$C$14),-Parameters!$D$37,"")</f>
        <v/>
      </c>
      <c r="W20" s="93" t="str">
        <f t="shared" si="0"/>
        <v/>
      </c>
      <c r="X20" s="94" t="str">
        <f>IF(AND(A20&gt;=Parameters!$B$15,A20&lt;=Parameters!$C$15),($L$47*Parameters!$B$45+$M$47*Parameters!$B$46+$N$47*Parameters!$B$47)*0.5,"")</f>
        <v/>
      </c>
      <c r="Z20" s="99">
        <f>(1+Parameters!$B$52)^-A20</f>
        <v>0.99609080417348228</v>
      </c>
      <c r="AA20" s="94">
        <f t="shared" si="1"/>
        <v>-149.41362062602235</v>
      </c>
      <c r="AC20" s="99">
        <f t="shared" si="2"/>
        <v>0.96536457386660446</v>
      </c>
      <c r="AD20" s="94">
        <f t="shared" si="3"/>
        <v>-144.80468607999066</v>
      </c>
    </row>
    <row r="21" spans="1:30" x14ac:dyDescent="0.2">
      <c r="A21" s="71">
        <f t="shared" si="4"/>
        <v>16</v>
      </c>
      <c r="B21" s="74" t="str">
        <f>IF(AND(A21&gt;=Parameters!$B$12,A21&lt;=Parameters!$C$12),"Yes","")</f>
        <v/>
      </c>
      <c r="C21" s="75" t="str">
        <f>IF(AND(A21&gt;=Parameters!$B$13,A21&lt;=Parameters!$C$13),"Yes","")</f>
        <v>Yes</v>
      </c>
      <c r="D21" s="75" t="str">
        <f>IF(AND(A21&gt;=Parameters!$B$14,A21&lt;=Parameters!$C$14),"Yes","")</f>
        <v/>
      </c>
      <c r="E21" s="76" t="str">
        <f>IF(AND(A21&gt;=Parameters!$B$15,A21&lt;=Parameters!$C$15),"Yes","")</f>
        <v/>
      </c>
      <c r="G21" s="83" t="str">
        <f>IF($B21="Yes",G20-Parameters!$D$20,"")</f>
        <v/>
      </c>
      <c r="H21" s="84" t="str">
        <f>IF($B21="Yes",H20-Parameters!$D$21,"")</f>
        <v/>
      </c>
      <c r="I21" s="84" t="str">
        <f>IF($B21="Yes",I20-Parameters!$D$22,"")</f>
        <v/>
      </c>
      <c r="J21" s="85" t="str">
        <f t="shared" ref="J21:J49" si="6">IF(B21="Yes",SUM(G21:I21),"")</f>
        <v/>
      </c>
      <c r="L21" s="83" t="str">
        <f>IF(A21=Parameters!$C$13,$G$51*Parameters!$D$24,IF(D21="Yes",L20*(1-Parameters!$E$27),""))</f>
        <v/>
      </c>
      <c r="M21" s="84" t="str">
        <f>IF(A21=Parameters!$C$13,$H$51*Parameters!$D$24,IF(D21="Yes",M20*(1-Parameters!$E$28),""))</f>
        <v/>
      </c>
      <c r="N21" s="84" t="str">
        <f>IF(A21=Parameters!$C$13,$I$51*Parameters!$D$24,IF(D21="Yes",N20*(1-Parameters!$E$29),""))</f>
        <v/>
      </c>
      <c r="O21" s="89" t="str">
        <f>IF(OR(A21&lt;Parameters!$C$13,A21&gt;Parameters!$C$14),"",SUM(L21:N21))</f>
        <v/>
      </c>
      <c r="Q21" s="74" t="str">
        <f>IF(A21=Parameters!$B$12-1,-Parameters!$B$36*J21,"")</f>
        <v/>
      </c>
      <c r="R21" s="75" t="str">
        <f>IF(AND(A21&gt;=Parameters!$B$12,A21&lt;=Parameters!$C$12),-Parameters!$D$36,"")</f>
        <v/>
      </c>
      <c r="S21" s="23"/>
      <c r="T21" s="75">
        <f>IF(AND(A21&gt;=Parameters!$B$13,A21&lt;=Parameters!$C$13),-Parameters!$C$39,"")</f>
        <v>-100</v>
      </c>
      <c r="U21" s="75" t="str">
        <f>IF(A21=Parameters!C$13,-Parameters!$C$37*O21,"")</f>
        <v/>
      </c>
      <c r="V21" s="75" t="str">
        <f>IF(AND(A21&gt;=Parameters!$B$14,A21&lt;=Parameters!$C$14),-Parameters!$D$37,"")</f>
        <v/>
      </c>
      <c r="W21" s="93" t="str">
        <f t="shared" si="0"/>
        <v/>
      </c>
      <c r="X21" s="94" t="str">
        <f>IF(AND(A21&gt;=Parameters!$B$15,A21&lt;=Parameters!$C$15),($L$47*Parameters!$B$45+$M$47*Parameters!$B$46+$N$47*Parameters!$B$47)*0.5,"")</f>
        <v/>
      </c>
      <c r="Z21" s="99">
        <f>(1+Parameters!$B$52)^-A21</f>
        <v>0.99583073513377196</v>
      </c>
      <c r="AA21" s="94">
        <f t="shared" si="1"/>
        <v>-99.583073513377201</v>
      </c>
      <c r="AC21" s="99">
        <f t="shared" si="2"/>
        <v>0.96309866581407044</v>
      </c>
      <c r="AD21" s="94">
        <f t="shared" si="3"/>
        <v>-96.30986658140705</v>
      </c>
    </row>
    <row r="22" spans="1:30" x14ac:dyDescent="0.2">
      <c r="A22" s="71">
        <f t="shared" si="4"/>
        <v>17</v>
      </c>
      <c r="B22" s="74" t="str">
        <f>IF(AND(A22&gt;=Parameters!$B$12,A22&lt;=Parameters!$C$12),"Yes","")</f>
        <v/>
      </c>
      <c r="C22" s="75" t="str">
        <f>IF(AND(A22&gt;=Parameters!$B$13,A22&lt;=Parameters!$C$13),"Yes","")</f>
        <v>Yes</v>
      </c>
      <c r="D22" s="75" t="str">
        <f>IF(AND(A22&gt;=Parameters!$B$14,A22&lt;=Parameters!$C$14),"Yes","")</f>
        <v/>
      </c>
      <c r="E22" s="76" t="str">
        <f>IF(AND(A22&gt;=Parameters!$B$15,A22&lt;=Parameters!$C$15),"Yes","")</f>
        <v/>
      </c>
      <c r="G22" s="83" t="str">
        <f>IF($B22="Yes",G21-Parameters!$D$20,"")</f>
        <v/>
      </c>
      <c r="H22" s="84" t="str">
        <f>IF($B22="Yes",H21-Parameters!$D$21,"")</f>
        <v/>
      </c>
      <c r="I22" s="84" t="str">
        <f>IF($B22="Yes",I21-Parameters!$D$22,"")</f>
        <v/>
      </c>
      <c r="J22" s="85" t="str">
        <f t="shared" si="6"/>
        <v/>
      </c>
      <c r="L22" s="83" t="str">
        <f>IF(A22=Parameters!$C$13,$G$51*Parameters!$D$24,IF(D22="Yes",L21*(1-Parameters!$E$27),""))</f>
        <v/>
      </c>
      <c r="M22" s="84" t="str">
        <f>IF(A22=Parameters!$C$13,$H$51*Parameters!$D$24,IF(D22="Yes",M21*(1-Parameters!$E$28),""))</f>
        <v/>
      </c>
      <c r="N22" s="84" t="str">
        <f>IF(A22=Parameters!$C$13,$I$51*Parameters!$D$24,IF(D22="Yes",N21*(1-Parameters!$E$29),""))</f>
        <v/>
      </c>
      <c r="O22" s="89" t="str">
        <f>IF(OR(A22&lt;Parameters!$C$13,A22&gt;Parameters!$C$14),"",SUM(L22:N22))</f>
        <v/>
      </c>
      <c r="Q22" s="74" t="str">
        <f>IF(A22=Parameters!$B$12-1,-Parameters!$B$36*J22,"")</f>
        <v/>
      </c>
      <c r="R22" s="75" t="str">
        <f>IF(AND(A22&gt;=Parameters!$B$12,A22&lt;=Parameters!$C$12),-Parameters!$D$36,"")</f>
        <v/>
      </c>
      <c r="S22" s="23"/>
      <c r="T22" s="75">
        <f>IF(AND(A22&gt;=Parameters!$B$13,A22&lt;=Parameters!$C$13),-Parameters!$C$39,"")</f>
        <v>-100</v>
      </c>
      <c r="U22" s="75" t="str">
        <f>IF(A22=Parameters!C$13,-Parameters!$C$37*O22,"")</f>
        <v/>
      </c>
      <c r="V22" s="75" t="str">
        <f>IF(AND(A22&gt;=Parameters!$B$14,A22&lt;=Parameters!$C$14),-Parameters!$D$37,"")</f>
        <v/>
      </c>
      <c r="W22" s="93" t="str">
        <f t="shared" si="0"/>
        <v/>
      </c>
      <c r="X22" s="94" t="str">
        <f>IF(AND(A22&gt;=Parameters!$B$15,A22&lt;=Parameters!$C$15),($L$47*Parameters!$B$45+$M$47*Parameters!$B$46+$N$47*Parameters!$B$47)*0.5,"")</f>
        <v/>
      </c>
      <c r="Z22" s="99">
        <f>(1+Parameters!$B$52)^-A22</f>
        <v>0.99557073399540652</v>
      </c>
      <c r="AA22" s="94">
        <f t="shared" si="1"/>
        <v>-99.557073399540656</v>
      </c>
      <c r="AC22" s="99">
        <f t="shared" si="2"/>
        <v>0.96083807631106843</v>
      </c>
      <c r="AD22" s="94">
        <f t="shared" si="3"/>
        <v>-96.083807631106851</v>
      </c>
    </row>
    <row r="23" spans="1:30" x14ac:dyDescent="0.2">
      <c r="A23" s="71">
        <f t="shared" si="4"/>
        <v>18</v>
      </c>
      <c r="B23" s="74" t="str">
        <f>IF(AND(A23&gt;=Parameters!$B$12,A23&lt;=Parameters!$C$12),"Yes","")</f>
        <v/>
      </c>
      <c r="C23" s="75" t="str">
        <f>IF(AND(A23&gt;=Parameters!$B$13,A23&lt;=Parameters!$C$13),"Yes","")</f>
        <v>Yes</v>
      </c>
      <c r="D23" s="75" t="str">
        <f>IF(AND(A23&gt;=Parameters!$B$14,A23&lt;=Parameters!$C$14),"Yes","")</f>
        <v/>
      </c>
      <c r="E23" s="76" t="str">
        <f>IF(AND(A23&gt;=Parameters!$B$15,A23&lt;=Parameters!$C$15),"Yes","")</f>
        <v/>
      </c>
      <c r="G23" s="83" t="str">
        <f>IF($B23="Yes",G22-Parameters!$D$20,"")</f>
        <v/>
      </c>
      <c r="H23" s="84" t="str">
        <f>IF($B23="Yes",H22-Parameters!$D$21,"")</f>
        <v/>
      </c>
      <c r="I23" s="84" t="str">
        <f>IF($B23="Yes",I22-Parameters!$D$22,"")</f>
        <v/>
      </c>
      <c r="J23" s="85" t="str">
        <f t="shared" si="6"/>
        <v/>
      </c>
      <c r="L23" s="83" t="str">
        <f>IF(A23=Parameters!$C$13,$G$51*Parameters!$D$24,IF(D23="Yes",L22*(1-Parameters!$E$27),""))</f>
        <v/>
      </c>
      <c r="M23" s="84" t="str">
        <f>IF(A23=Parameters!$C$13,$H$51*Parameters!$D$24,IF(D23="Yes",M22*(1-Parameters!$E$28),""))</f>
        <v/>
      </c>
      <c r="N23" s="84" t="str">
        <f>IF(A23=Parameters!$C$13,$I$51*Parameters!$D$24,IF(D23="Yes",N22*(1-Parameters!$E$29),""))</f>
        <v/>
      </c>
      <c r="O23" s="89" t="str">
        <f>IF(OR(A23&lt;Parameters!$C$13,A23&gt;Parameters!$C$14),"",SUM(L23:N23))</f>
        <v/>
      </c>
      <c r="Q23" s="74" t="str">
        <f>IF(A23=Parameters!$B$12-1,-Parameters!$B$36*J23,"")</f>
        <v/>
      </c>
      <c r="R23" s="75" t="str">
        <f>IF(AND(A23&gt;=Parameters!$B$12,A23&lt;=Parameters!$C$12),-Parameters!$D$36,"")</f>
        <v/>
      </c>
      <c r="S23" s="23"/>
      <c r="T23" s="75">
        <f>IF(AND(A23&gt;=Parameters!$B$13,A23&lt;=Parameters!$C$13),-Parameters!$C$39,"")</f>
        <v>-100</v>
      </c>
      <c r="U23" s="75" t="str">
        <f>IF(A23=Parameters!C$13,-Parameters!$C$37*O23,"")</f>
        <v/>
      </c>
      <c r="V23" s="75" t="str">
        <f>IF(AND(A23&gt;=Parameters!$B$14,A23&lt;=Parameters!$C$14),-Parameters!$D$37,"")</f>
        <v/>
      </c>
      <c r="W23" s="93" t="str">
        <f t="shared" si="0"/>
        <v/>
      </c>
      <c r="X23" s="94" t="str">
        <f>IF(AND(A23&gt;=Parameters!$B$15,A23&lt;=Parameters!$C$15),($L$47*Parameters!$B$45+$M$47*Parameters!$B$46+$N$47*Parameters!$B$47)*0.5,"")</f>
        <v/>
      </c>
      <c r="Z23" s="99">
        <f>(1+Parameters!$B$52)^-A23</f>
        <v>0.9953108007406577</v>
      </c>
      <c r="AA23" s="94">
        <f t="shared" si="1"/>
        <v>-99.53108007406577</v>
      </c>
      <c r="AC23" s="99">
        <f t="shared" si="2"/>
        <v>0.95858279287387516</v>
      </c>
      <c r="AD23" s="94">
        <f t="shared" si="3"/>
        <v>-95.858279287387518</v>
      </c>
    </row>
    <row r="24" spans="1:30" x14ac:dyDescent="0.2">
      <c r="A24" s="71">
        <f t="shared" si="4"/>
        <v>19</v>
      </c>
      <c r="B24" s="74" t="str">
        <f>IF(AND(A24&gt;=Parameters!$B$12,A24&lt;=Parameters!$C$12),"Yes","")</f>
        <v/>
      </c>
      <c r="C24" s="75" t="str">
        <f>IF(AND(A24&gt;=Parameters!$B$13,A24&lt;=Parameters!$C$13),"Yes","")</f>
        <v>Yes</v>
      </c>
      <c r="D24" s="75" t="str">
        <f>IF(AND(A24&gt;=Parameters!$B$14,A24&lt;=Parameters!$C$14),"Yes","")</f>
        <v/>
      </c>
      <c r="E24" s="76" t="str">
        <f>IF(AND(A24&gt;=Parameters!$B$15,A24&lt;=Parameters!$C$15),"Yes","")</f>
        <v/>
      </c>
      <c r="G24" s="83" t="str">
        <f>IF($B24="Yes",G23-Parameters!$D$20,"")</f>
        <v/>
      </c>
      <c r="H24" s="84" t="str">
        <f>IF($B24="Yes",H23-Parameters!$D$21,"")</f>
        <v/>
      </c>
      <c r="I24" s="84" t="str">
        <f>IF($B24="Yes",I23-Parameters!$D$22,"")</f>
        <v/>
      </c>
      <c r="J24" s="85" t="str">
        <f t="shared" si="6"/>
        <v/>
      </c>
      <c r="L24" s="83" t="str">
        <f>IF(A24=Parameters!$C$13,$G$51*Parameters!$D$24,IF(D24="Yes",L23*(1-Parameters!$E$27),""))</f>
        <v/>
      </c>
      <c r="M24" s="84" t="str">
        <f>IF(A24=Parameters!$C$13,$H$51*Parameters!$D$24,IF(D24="Yes",M23*(1-Parameters!$E$28),""))</f>
        <v/>
      </c>
      <c r="N24" s="84" t="str">
        <f>IF(A24=Parameters!$C$13,$I$51*Parameters!$D$24,IF(D24="Yes",N23*(1-Parameters!$E$29),""))</f>
        <v/>
      </c>
      <c r="O24" s="89" t="str">
        <f>IF(OR(A24&lt;Parameters!$C$13,A24&gt;Parameters!$C$14),"",SUM(L24:N24))</f>
        <v/>
      </c>
      <c r="Q24" s="74" t="str">
        <f>IF(A24=Parameters!$B$12-1,-Parameters!$B$36*J24,"")</f>
        <v/>
      </c>
      <c r="R24" s="75" t="str">
        <f>IF(AND(A24&gt;=Parameters!$B$12,A24&lt;=Parameters!$C$12),-Parameters!$D$36,"")</f>
        <v/>
      </c>
      <c r="S24" s="23"/>
      <c r="T24" s="75">
        <f>IF(AND(A24&gt;=Parameters!$B$13,A24&lt;=Parameters!$C$13),-Parameters!$C$39,"")</f>
        <v>-100</v>
      </c>
      <c r="U24" s="75" t="str">
        <f>IF(A24=Parameters!C$13,-Parameters!$C$37*O24,"")</f>
        <v/>
      </c>
      <c r="V24" s="75" t="str">
        <f>IF(AND(A24&gt;=Parameters!$B$14,A24&lt;=Parameters!$C$14),-Parameters!$D$37,"")</f>
        <v/>
      </c>
      <c r="W24" s="93" t="str">
        <f t="shared" si="0"/>
        <v/>
      </c>
      <c r="X24" s="94" t="str">
        <f>IF(AND(A24&gt;=Parameters!$B$15,A24&lt;=Parameters!$C$15),($L$47*Parameters!$B$45+$M$47*Parameters!$B$46+$N$47*Parameters!$B$47)*0.5,"")</f>
        <v/>
      </c>
      <c r="Z24" s="99">
        <f>(1+Parameters!$B$52)^-A24</f>
        <v>0.99505093535180167</v>
      </c>
      <c r="AA24" s="94">
        <f t="shared" si="1"/>
        <v>-99.505093535180166</v>
      </c>
      <c r="AC24" s="99">
        <f t="shared" si="2"/>
        <v>0.956332803048069</v>
      </c>
      <c r="AD24" s="94">
        <f t="shared" si="3"/>
        <v>-95.633280304806902</v>
      </c>
    </row>
    <row r="25" spans="1:30" x14ac:dyDescent="0.2">
      <c r="A25" s="71">
        <f t="shared" si="4"/>
        <v>20</v>
      </c>
      <c r="B25" s="74" t="str">
        <f>IF(AND(A25&gt;=Parameters!$B$12,A25&lt;=Parameters!$C$12),"Yes","")</f>
        <v/>
      </c>
      <c r="C25" s="75" t="str">
        <f>IF(AND(A25&gt;=Parameters!$B$13,A25&lt;=Parameters!$C$13),"Yes","")</f>
        <v>Yes</v>
      </c>
      <c r="D25" s="75" t="str">
        <f>IF(AND(A25&gt;=Parameters!$B$14,A25&lt;=Parameters!$C$14),"Yes","")</f>
        <v/>
      </c>
      <c r="E25" s="76" t="str">
        <f>IF(AND(A25&gt;=Parameters!$B$15,A25&lt;=Parameters!$C$15),"Yes","")</f>
        <v/>
      </c>
      <c r="G25" s="83" t="str">
        <f>IF($B25="Yes",G24-Parameters!$D$20,"")</f>
        <v/>
      </c>
      <c r="H25" s="84" t="str">
        <f>IF($B25="Yes",H24-Parameters!$D$21,"")</f>
        <v/>
      </c>
      <c r="I25" s="84" t="str">
        <f>IF($B25="Yes",I24-Parameters!$D$22,"")</f>
        <v/>
      </c>
      <c r="J25" s="85" t="str">
        <f t="shared" si="6"/>
        <v/>
      </c>
      <c r="L25" s="83" t="str">
        <f>IF(A25=Parameters!$C$13,$G$51*Parameters!$D$24,IF(D25="Yes",L24*(1-Parameters!$E$27),""))</f>
        <v/>
      </c>
      <c r="M25" s="84" t="str">
        <f>IF(A25=Parameters!$C$13,$H$51*Parameters!$D$24,IF(D25="Yes",M24*(1-Parameters!$E$28),""))</f>
        <v/>
      </c>
      <c r="N25" s="84" t="str">
        <f>IF(A25=Parameters!$C$13,$I$51*Parameters!$D$24,IF(D25="Yes",N24*(1-Parameters!$E$29),""))</f>
        <v/>
      </c>
      <c r="O25" s="89" t="str">
        <f>IF(OR(A25&lt;Parameters!$C$13,A25&gt;Parameters!$C$14),"",SUM(L25:N25))</f>
        <v/>
      </c>
      <c r="Q25" s="74" t="str">
        <f>IF(A25=Parameters!$B$12-1,-Parameters!$B$36*J25,"")</f>
        <v/>
      </c>
      <c r="R25" s="75" t="str">
        <f>IF(AND(A25&gt;=Parameters!$B$12,A25&lt;=Parameters!$C$12),-Parameters!$D$36,"")</f>
        <v/>
      </c>
      <c r="S25" s="23"/>
      <c r="T25" s="75">
        <f>IF(AND(A25&gt;=Parameters!$B$13,A25&lt;=Parameters!$C$13),-Parameters!$C$39,"")</f>
        <v>-100</v>
      </c>
      <c r="U25" s="75" t="str">
        <f>IF(A25=Parameters!C$13,-Parameters!$C$37*O25,"")</f>
        <v/>
      </c>
      <c r="V25" s="75" t="str">
        <f>IF(AND(A25&gt;=Parameters!$B$14,A25&lt;=Parameters!$C$14),-Parameters!$D$37,"")</f>
        <v/>
      </c>
      <c r="W25" s="93" t="str">
        <f t="shared" si="0"/>
        <v/>
      </c>
      <c r="X25" s="94" t="str">
        <f>IF(AND(A25&gt;=Parameters!$B$15,A25&lt;=Parameters!$C$15),($L$47*Parameters!$B$45+$M$47*Parameters!$B$46+$N$47*Parameters!$B$47)*0.5,"")</f>
        <v/>
      </c>
      <c r="Z25" s="99">
        <f>(1+Parameters!$B$52)^-A25</f>
        <v>0.99479113781111994</v>
      </c>
      <c r="AA25" s="94">
        <f t="shared" si="1"/>
        <v>-99.479113781111991</v>
      </c>
      <c r="AC25" s="99">
        <f t="shared" si="2"/>
        <v>0.95408809440846187</v>
      </c>
      <c r="AD25" s="94">
        <f t="shared" si="3"/>
        <v>-95.408809440846184</v>
      </c>
    </row>
    <row r="26" spans="1:30" x14ac:dyDescent="0.2">
      <c r="A26" s="71">
        <f t="shared" si="4"/>
        <v>21</v>
      </c>
      <c r="B26" s="74" t="str">
        <f>IF(AND(A26&gt;=Parameters!$B$12,A26&lt;=Parameters!$C$12),"Yes","")</f>
        <v/>
      </c>
      <c r="C26" s="75" t="str">
        <f>IF(AND(A26&gt;=Parameters!$B$13,A26&lt;=Parameters!$C$13),"Yes","")</f>
        <v>Yes</v>
      </c>
      <c r="D26" s="75" t="str">
        <f>IF(AND(A26&gt;=Parameters!$B$14,A26&lt;=Parameters!$C$14),"Yes","")</f>
        <v/>
      </c>
      <c r="E26" s="76" t="str">
        <f>IF(AND(A26&gt;=Parameters!$B$15,A26&lt;=Parameters!$C$15),"Yes","")</f>
        <v/>
      </c>
      <c r="G26" s="83" t="str">
        <f>IF($B26="Yes",G25-Parameters!$D$20,"")</f>
        <v/>
      </c>
      <c r="H26" s="84" t="str">
        <f>IF($B26="Yes",H25-Parameters!$D$21,"")</f>
        <v/>
      </c>
      <c r="I26" s="84" t="str">
        <f>IF($B26="Yes",I25-Parameters!$D$22,"")</f>
        <v/>
      </c>
      <c r="J26" s="85" t="str">
        <f t="shared" si="6"/>
        <v/>
      </c>
      <c r="L26" s="83" t="str">
        <f>IF(A26=Parameters!$C$13,$G$51*Parameters!$D$24,IF(D26="Yes",L25*(1-Parameters!$E$27),""))</f>
        <v/>
      </c>
      <c r="M26" s="84" t="str">
        <f>IF(A26=Parameters!$C$13,$H$51*Parameters!$D$24,IF(D26="Yes",M25*(1-Parameters!$E$28),""))</f>
        <v/>
      </c>
      <c r="N26" s="84" t="str">
        <f>IF(A26=Parameters!$C$13,$I$51*Parameters!$D$24,IF(D26="Yes",N25*(1-Parameters!$E$29),""))</f>
        <v/>
      </c>
      <c r="O26" s="89" t="str">
        <f>IF(OR(A26&lt;Parameters!$C$13,A26&gt;Parameters!$C$14),"",SUM(L26:N26))</f>
        <v/>
      </c>
      <c r="Q26" s="74" t="str">
        <f>IF(A26=Parameters!$B$12-1,-Parameters!$B$36*J26,"")</f>
        <v/>
      </c>
      <c r="R26" s="75" t="str">
        <f>IF(AND(A26&gt;=Parameters!$B$12,A26&lt;=Parameters!$C$12),-Parameters!$D$36,"")</f>
        <v/>
      </c>
      <c r="S26" s="23"/>
      <c r="T26" s="75">
        <f>IF(AND(A26&gt;=Parameters!$B$13,A26&lt;=Parameters!$C$13),-Parameters!$C$39,"")</f>
        <v>-100</v>
      </c>
      <c r="U26" s="75" t="str">
        <f>IF(A26=Parameters!C$13,-Parameters!$C$37*O26,"")</f>
        <v/>
      </c>
      <c r="V26" s="75" t="str">
        <f>IF(AND(A26&gt;=Parameters!$B$14,A26&lt;=Parameters!$C$14),-Parameters!$D$37,"")</f>
        <v/>
      </c>
      <c r="W26" s="93" t="str">
        <f t="shared" si="0"/>
        <v/>
      </c>
      <c r="X26" s="94" t="str">
        <f>IF(AND(A26&gt;=Parameters!$B$15,A26&lt;=Parameters!$C$15),($L$47*Parameters!$B$45+$M$47*Parameters!$B$46+$N$47*Parameters!$B$47)*0.5,"")</f>
        <v/>
      </c>
      <c r="Z26" s="99">
        <f>(1+Parameters!$B$52)^-A26</f>
        <v>0.99453140810089757</v>
      </c>
      <c r="AA26" s="94">
        <f t="shared" si="1"/>
        <v>-99.453140810089764</v>
      </c>
      <c r="AC26" s="99">
        <f t="shared" si="2"/>
        <v>0.95184865455902989</v>
      </c>
      <c r="AD26" s="94">
        <f t="shared" si="3"/>
        <v>-95.184865455902994</v>
      </c>
    </row>
    <row r="27" spans="1:30" x14ac:dyDescent="0.2">
      <c r="A27" s="71">
        <f t="shared" si="4"/>
        <v>22</v>
      </c>
      <c r="B27" s="74" t="str">
        <f>IF(AND(A27&gt;=Parameters!$B$12,A27&lt;=Parameters!$C$12),"Yes","")</f>
        <v/>
      </c>
      <c r="C27" s="75" t="str">
        <f>IF(AND(A27&gt;=Parameters!$B$13,A27&lt;=Parameters!$C$13),"Yes","")</f>
        <v>Yes</v>
      </c>
      <c r="D27" s="75" t="str">
        <f>IF(AND(A27&gt;=Parameters!$B$14,A27&lt;=Parameters!$C$14),"Yes","")</f>
        <v/>
      </c>
      <c r="E27" s="76" t="str">
        <f>IF(AND(A27&gt;=Parameters!$B$15,A27&lt;=Parameters!$C$15),"Yes","")</f>
        <v/>
      </c>
      <c r="G27" s="83" t="str">
        <f>IF($B27="Yes",G26-Parameters!$D$20,"")</f>
        <v/>
      </c>
      <c r="H27" s="84" t="str">
        <f>IF($B27="Yes",H26-Parameters!$D$21,"")</f>
        <v/>
      </c>
      <c r="I27" s="84" t="str">
        <f>IF($B27="Yes",I26-Parameters!$D$22,"")</f>
        <v/>
      </c>
      <c r="J27" s="85" t="str">
        <f t="shared" si="6"/>
        <v/>
      </c>
      <c r="L27" s="83">
        <f>IF(A27=Parameters!$C$13,$G$51*Parameters!$D$24,IF(D27="Yes",L26*(1-Parameters!$E$27),""))</f>
        <v>550</v>
      </c>
      <c r="M27" s="84">
        <f>IF(A27=Parameters!$C$13,$H$51*Parameters!$D$24,IF(D27="Yes",M26*(1-Parameters!$E$28),""))</f>
        <v>775</v>
      </c>
      <c r="N27" s="84">
        <f>IF(A27=Parameters!$C$13,$I$51*Parameters!$D$24,IF(D27="Yes",N26*(1-Parameters!$E$29),""))</f>
        <v>775</v>
      </c>
      <c r="O27" s="89">
        <f>IF(OR(A27&lt;Parameters!$C$13,A27&gt;Parameters!$C$14),"",SUM(L27:N27))</f>
        <v>2100</v>
      </c>
      <c r="Q27" s="74" t="str">
        <f>IF(A27=Parameters!$B$12-1,-Parameters!$B$36*J27,"")</f>
        <v/>
      </c>
      <c r="R27" s="75" t="str">
        <f>IF(AND(A27&gt;=Parameters!$B$12,A27&lt;=Parameters!$C$12),-Parameters!$D$36,"")</f>
        <v/>
      </c>
      <c r="S27" s="23"/>
      <c r="T27" s="75">
        <f>IF(AND(A27&gt;=Parameters!$B$13,A27&lt;=Parameters!$C$13),-Parameters!$C$39,"")</f>
        <v>-100</v>
      </c>
      <c r="U27" s="93">
        <f>IF(A27=Parameters!C$13,-Parameters!$C$37*O27,"")</f>
        <v>-1260</v>
      </c>
      <c r="V27" s="75" t="str">
        <f>IF(AND(A27&gt;=Parameters!$B$14,A27&lt;=Parameters!$C$14),-Parameters!$D$37,"")</f>
        <v/>
      </c>
      <c r="W27" s="93" t="str">
        <f t="shared" si="0"/>
        <v/>
      </c>
      <c r="X27" s="94" t="str">
        <f>IF(AND(A27&gt;=Parameters!$B$15,A27&lt;=Parameters!$C$15),($L$47*Parameters!$B$45+$M$47*Parameters!$B$46+$N$47*Parameters!$B$47)*0.5,"")</f>
        <v/>
      </c>
      <c r="Z27" s="99">
        <f>(1+Parameters!$B$52)^-A27</f>
        <v>0.99427174620342484</v>
      </c>
      <c r="AA27" s="94">
        <f t="shared" si="1"/>
        <v>-1352.2095748366578</v>
      </c>
      <c r="AC27" s="99">
        <f t="shared" si="2"/>
        <v>0.9496144711328447</v>
      </c>
      <c r="AD27" s="94">
        <f t="shared" si="3"/>
        <v>-1291.4756807406688</v>
      </c>
    </row>
    <row r="28" spans="1:30" x14ac:dyDescent="0.2">
      <c r="A28" s="71">
        <f t="shared" si="4"/>
        <v>23</v>
      </c>
      <c r="B28" s="74" t="str">
        <f>IF(AND(A28&gt;=Parameters!$B$12,A28&lt;=Parameters!$C$12),"Yes","")</f>
        <v/>
      </c>
      <c r="C28" s="75" t="str">
        <f>IF(AND(A28&gt;=Parameters!$B$13,A28&lt;=Parameters!$C$13),"Yes","")</f>
        <v/>
      </c>
      <c r="D28" s="75" t="str">
        <f>IF(AND(A28&gt;=Parameters!$B$14,A28&lt;=Parameters!$C$14),"Yes","")</f>
        <v>Yes</v>
      </c>
      <c r="E28" s="76" t="str">
        <f>IF(AND(A28&gt;=Parameters!$B$15,A28&lt;=Parameters!$C$15),"Yes","")</f>
        <v/>
      </c>
      <c r="G28" s="83" t="str">
        <f>IF($B28="Yes",G27-Parameters!$D$20,"")</f>
        <v/>
      </c>
      <c r="H28" s="84" t="str">
        <f>IF($B28="Yes",H27-Parameters!$D$21,"")</f>
        <v/>
      </c>
      <c r="I28" s="84" t="str">
        <f>IF($B28="Yes",I27-Parameters!$D$22,"")</f>
        <v/>
      </c>
      <c r="J28" s="85" t="str">
        <f t="shared" si="6"/>
        <v/>
      </c>
      <c r="L28" s="83">
        <f>IF(A28=Parameters!$C$13,$G$51*Parameters!$D$24,IF(D28="Yes",L27*(1-Parameters!$E$27),""))</f>
        <v>539</v>
      </c>
      <c r="M28" s="84">
        <f>IF(A28=Parameters!$C$13,$H$51*Parameters!$D$24,IF(D28="Yes",M27*(1-Parameters!$E$28),""))</f>
        <v>759.5</v>
      </c>
      <c r="N28" s="84">
        <f>IF(A28=Parameters!$C$13,$I$51*Parameters!$D$24,IF(D28="Yes",N27*(1-Parameters!$E$29),""))</f>
        <v>759.5</v>
      </c>
      <c r="O28" s="89">
        <f>IF(OR(A28&lt;Parameters!$C$13,A28&gt;Parameters!$C$14),"",SUM(L28:N28))</f>
        <v>2058</v>
      </c>
      <c r="Q28" s="74" t="str">
        <f>IF(A28=Parameters!$B$12-1,-Parameters!$B$36*J28,"")</f>
        <v/>
      </c>
      <c r="R28" s="75" t="str">
        <f>IF(AND(A28&gt;=Parameters!$B$12,A28&lt;=Parameters!$C$12),-Parameters!$D$36,"")</f>
        <v/>
      </c>
      <c r="S28" s="23"/>
      <c r="T28" s="75" t="str">
        <f>IF(AND(A28&gt;=Parameters!$B$13,A28&lt;=Parameters!$C$13),-Parameters!$C$39,"")</f>
        <v/>
      </c>
      <c r="U28" s="75" t="str">
        <f>IF(A28=Parameters!C$13,-Parameters!$C$37*O28,"")</f>
        <v/>
      </c>
      <c r="V28" s="75">
        <f>IF(AND(A28&gt;=Parameters!$B$14,A28&lt;=Parameters!$C$14),-Parameters!$D$37,"")</f>
        <v>-250</v>
      </c>
      <c r="W28" s="93" t="str">
        <f t="shared" si="0"/>
        <v/>
      </c>
      <c r="X28" s="94" t="str">
        <f>IF(AND(A28&gt;=Parameters!$B$15,A28&lt;=Parameters!$C$15),($L$47*Parameters!$B$45+$M$47*Parameters!$B$46+$N$47*Parameters!$B$47)*0.5,"")</f>
        <v/>
      </c>
      <c r="Z28" s="99">
        <f>(1+Parameters!$B$52)^-A28</f>
        <v>0.99401215210099636</v>
      </c>
      <c r="AA28" s="94">
        <f t="shared" si="1"/>
        <v>-248.50303802524908</v>
      </c>
      <c r="AC28" s="99">
        <f t="shared" si="2"/>
        <v>0.94738553179200657</v>
      </c>
      <c r="AD28" s="94">
        <f t="shared" si="3"/>
        <v>-236.84638294800163</v>
      </c>
    </row>
    <row r="29" spans="1:30" x14ac:dyDescent="0.2">
      <c r="A29" s="71">
        <f t="shared" si="4"/>
        <v>24</v>
      </c>
      <c r="B29" s="74" t="str">
        <f>IF(AND(A29&gt;=Parameters!$B$12,A29&lt;=Parameters!$C$12),"Yes","")</f>
        <v/>
      </c>
      <c r="C29" s="75" t="str">
        <f>IF(AND(A29&gt;=Parameters!$B$13,A29&lt;=Parameters!$C$13),"Yes","")</f>
        <v/>
      </c>
      <c r="D29" s="75" t="str">
        <f>IF(AND(A29&gt;=Parameters!$B$14,A29&lt;=Parameters!$C$14),"Yes","")</f>
        <v>Yes</v>
      </c>
      <c r="E29" s="76" t="str">
        <f>IF(AND(A29&gt;=Parameters!$B$15,A29&lt;=Parameters!$C$15),"Yes","")</f>
        <v/>
      </c>
      <c r="G29" s="83" t="str">
        <f>IF($B29="Yes",G28-Parameters!$D$20,"")</f>
        <v/>
      </c>
      <c r="H29" s="84" t="str">
        <f>IF($B29="Yes",H28-Parameters!$D$21,"")</f>
        <v/>
      </c>
      <c r="I29" s="84" t="str">
        <f>IF($B29="Yes",I28-Parameters!$D$22,"")</f>
        <v/>
      </c>
      <c r="J29" s="85" t="str">
        <f t="shared" si="6"/>
        <v/>
      </c>
      <c r="L29" s="83">
        <f>IF(A29=Parameters!$C$13,$G$51*Parameters!$D$24,IF(D29="Yes",L28*(1-Parameters!$E$27),""))</f>
        <v>528.22</v>
      </c>
      <c r="M29" s="84">
        <f>IF(A29=Parameters!$C$13,$H$51*Parameters!$D$24,IF(D29="Yes",M28*(1-Parameters!$E$28),""))</f>
        <v>744.31</v>
      </c>
      <c r="N29" s="84">
        <f>IF(A29=Parameters!$C$13,$I$51*Parameters!$D$24,IF(D29="Yes",N28*(1-Parameters!$E$29),""))</f>
        <v>744.31</v>
      </c>
      <c r="O29" s="89">
        <f>IF(OR(A29&lt;Parameters!$C$13,A29&gt;Parameters!$C$14),"",SUM(L29:N29))</f>
        <v>2016.84</v>
      </c>
      <c r="Q29" s="74" t="str">
        <f>IF(A29=Parameters!$B$12-1,-Parameters!$B$36*J29,"")</f>
        <v/>
      </c>
      <c r="R29" s="75" t="str">
        <f>IF(AND(A29&gt;=Parameters!$B$12,A29&lt;=Parameters!$C$12),-Parameters!$D$36,"")</f>
        <v/>
      </c>
      <c r="S29" s="23"/>
      <c r="T29" s="75" t="str">
        <f>IF(AND(A29&gt;=Parameters!$B$13,A29&lt;=Parameters!$C$13),-Parameters!$C$39,"")</f>
        <v/>
      </c>
      <c r="U29" s="75" t="str">
        <f>IF(A29=Parameters!C$13,-Parameters!$C$37*O29,"")</f>
        <v/>
      </c>
      <c r="V29" s="75">
        <f>IF(AND(A29&gt;=Parameters!$B$14,A29&lt;=Parameters!$C$14),-Parameters!$D$37,"")</f>
        <v>-250</v>
      </c>
      <c r="W29" s="93" t="str">
        <f t="shared" si="0"/>
        <v/>
      </c>
      <c r="X29" s="94" t="str">
        <f>IF(AND(A29&gt;=Parameters!$B$15,A29&lt;=Parameters!$C$15),($L$47*Parameters!$B$45+$M$47*Parameters!$B$46+$N$47*Parameters!$B$47)*0.5,"")</f>
        <v/>
      </c>
      <c r="Z29" s="99">
        <f>(1+Parameters!$B$52)^-A29</f>
        <v>0.99375262577591217</v>
      </c>
      <c r="AA29" s="94">
        <f t="shared" si="1"/>
        <v>-248.43815644397804</v>
      </c>
      <c r="AC29" s="99">
        <f t="shared" si="2"/>
        <v>0.94516182422757455</v>
      </c>
      <c r="AD29" s="94">
        <f t="shared" si="3"/>
        <v>-236.29045605689365</v>
      </c>
    </row>
    <row r="30" spans="1:30" x14ac:dyDescent="0.2">
      <c r="A30" s="71">
        <f t="shared" si="4"/>
        <v>25</v>
      </c>
      <c r="B30" s="74" t="str">
        <f>IF(AND(A30&gt;=Parameters!$B$12,A30&lt;=Parameters!$C$12),"Yes","")</f>
        <v/>
      </c>
      <c r="C30" s="75" t="str">
        <f>IF(AND(A30&gt;=Parameters!$B$13,A30&lt;=Parameters!$C$13),"Yes","")</f>
        <v/>
      </c>
      <c r="D30" s="75" t="str">
        <f>IF(AND(A30&gt;=Parameters!$B$14,A30&lt;=Parameters!$C$14),"Yes","")</f>
        <v>Yes</v>
      </c>
      <c r="E30" s="76" t="str">
        <f>IF(AND(A30&gt;=Parameters!$B$15,A30&lt;=Parameters!$C$15),"Yes","")</f>
        <v/>
      </c>
      <c r="G30" s="83" t="str">
        <f>IF($B30="Yes",G29-Parameters!$D$20,"")</f>
        <v/>
      </c>
      <c r="H30" s="84" t="str">
        <f>IF($B30="Yes",H29-Parameters!$D$21,"")</f>
        <v/>
      </c>
      <c r="I30" s="84" t="str">
        <f>IF($B30="Yes",I29-Parameters!$D$22,"")</f>
        <v/>
      </c>
      <c r="J30" s="85" t="str">
        <f t="shared" si="6"/>
        <v/>
      </c>
      <c r="L30" s="83">
        <f>IF(A30=Parameters!$C$13,$G$51*Parameters!$D$24,IF(D30="Yes",L29*(1-Parameters!$E$27),""))</f>
        <v>517.65560000000005</v>
      </c>
      <c r="M30" s="84">
        <f>IF(A30=Parameters!$C$13,$H$51*Parameters!$D$24,IF(D30="Yes",M29*(1-Parameters!$E$28),""))</f>
        <v>729.42379999999991</v>
      </c>
      <c r="N30" s="84">
        <f>IF(A30=Parameters!$C$13,$I$51*Parameters!$D$24,IF(D30="Yes",N29*(1-Parameters!$E$29),""))</f>
        <v>729.42379999999991</v>
      </c>
      <c r="O30" s="89">
        <f>IF(OR(A30&lt;Parameters!$C$13,A30&gt;Parameters!$C$14),"",SUM(L30:N30))</f>
        <v>1976.5032000000001</v>
      </c>
      <c r="Q30" s="74" t="str">
        <f>IF(A30=Parameters!$B$12-1,-Parameters!$B$36*J30,"")</f>
        <v/>
      </c>
      <c r="R30" s="75" t="str">
        <f>IF(AND(A30&gt;=Parameters!$B$12,A30&lt;=Parameters!$C$12),-Parameters!$D$36,"")</f>
        <v/>
      </c>
      <c r="S30" s="23"/>
      <c r="T30" s="75" t="str">
        <f>IF(AND(A30&gt;=Parameters!$B$13,A30&lt;=Parameters!$C$13),-Parameters!$C$39,"")</f>
        <v/>
      </c>
      <c r="U30" s="75" t="str">
        <f>IF(A30=Parameters!C$13,-Parameters!$C$37*O30,"")</f>
        <v/>
      </c>
      <c r="V30" s="75">
        <f>IF(AND(A30&gt;=Parameters!$B$14,A30&lt;=Parameters!$C$14),-Parameters!$D$37,"")</f>
        <v>-250</v>
      </c>
      <c r="W30" s="93" t="str">
        <f t="shared" si="0"/>
        <v/>
      </c>
      <c r="X30" s="94" t="str">
        <f>IF(AND(A30&gt;=Parameters!$B$15,A30&lt;=Parameters!$C$15),($L$47*Parameters!$B$45+$M$47*Parameters!$B$46+$N$47*Parameters!$B$47)*0.5,"")</f>
        <v/>
      </c>
      <c r="Z30" s="99">
        <f>(1+Parameters!$B$52)^-A30</f>
        <v>0.99349316721047543</v>
      </c>
      <c r="AA30" s="94">
        <f t="shared" si="1"/>
        <v>-248.37329180261887</v>
      </c>
      <c r="AC30" s="99">
        <f t="shared" si="2"/>
        <v>0.94294333615949988</v>
      </c>
      <c r="AD30" s="94">
        <f t="shared" si="3"/>
        <v>-235.73583403987496</v>
      </c>
    </row>
    <row r="31" spans="1:30" x14ac:dyDescent="0.2">
      <c r="A31" s="71">
        <f t="shared" si="4"/>
        <v>26</v>
      </c>
      <c r="B31" s="74" t="str">
        <f>IF(AND(A31&gt;=Parameters!$B$12,A31&lt;=Parameters!$C$12),"Yes","")</f>
        <v/>
      </c>
      <c r="C31" s="75" t="str">
        <f>IF(AND(A31&gt;=Parameters!$B$13,A31&lt;=Parameters!$C$13),"Yes","")</f>
        <v/>
      </c>
      <c r="D31" s="75" t="str">
        <f>IF(AND(A31&gt;=Parameters!$B$14,A31&lt;=Parameters!$C$14),"Yes","")</f>
        <v>Yes</v>
      </c>
      <c r="E31" s="76" t="str">
        <f>IF(AND(A31&gt;=Parameters!$B$15,A31&lt;=Parameters!$C$15),"Yes","")</f>
        <v/>
      </c>
      <c r="G31" s="83" t="str">
        <f>IF($B31="Yes",G30-Parameters!$D$20,"")</f>
        <v/>
      </c>
      <c r="H31" s="84" t="str">
        <f>IF($B31="Yes",H30-Parameters!$D$21,"")</f>
        <v/>
      </c>
      <c r="I31" s="84" t="str">
        <f>IF($B31="Yes",I30-Parameters!$D$22,"")</f>
        <v/>
      </c>
      <c r="J31" s="85" t="str">
        <f t="shared" si="6"/>
        <v/>
      </c>
      <c r="L31" s="83">
        <f>IF(A31=Parameters!$C$13,$G$51*Parameters!$D$24,IF(D31="Yes",L30*(1-Parameters!$E$27),""))</f>
        <v>507.30248800000004</v>
      </c>
      <c r="M31" s="84">
        <f>IF(A31=Parameters!$C$13,$H$51*Parameters!$D$24,IF(D31="Yes",M30*(1-Parameters!$E$28),""))</f>
        <v>714.8353239999999</v>
      </c>
      <c r="N31" s="84">
        <f>IF(A31=Parameters!$C$13,$I$51*Parameters!$D$24,IF(D31="Yes",N30*(1-Parameters!$E$29),""))</f>
        <v>714.8353239999999</v>
      </c>
      <c r="O31" s="89">
        <f>IF(OR(A31&lt;Parameters!$C$13,A31&gt;Parameters!$C$14),"",SUM(L31:N31))</f>
        <v>1936.9731359999998</v>
      </c>
      <c r="Q31" s="74" t="str">
        <f>IF(A31=Parameters!$B$12-1,-Parameters!$B$36*J31,"")</f>
        <v/>
      </c>
      <c r="R31" s="75" t="str">
        <f>IF(AND(A31&gt;=Parameters!$B$12,A31&lt;=Parameters!$C$12),-Parameters!$D$36,"")</f>
        <v/>
      </c>
      <c r="S31" s="23"/>
      <c r="T31" s="75" t="str">
        <f>IF(AND(A31&gt;=Parameters!$B$13,A31&lt;=Parameters!$C$13),-Parameters!$C$39,"")</f>
        <v/>
      </c>
      <c r="U31" s="75" t="str">
        <f>IF(A31=Parameters!C$13,-Parameters!$C$37*O31,"")</f>
        <v/>
      </c>
      <c r="V31" s="75">
        <f>IF(AND(A31&gt;=Parameters!$B$14,A31&lt;=Parameters!$C$14),-Parameters!$D$37,"")</f>
        <v>-250</v>
      </c>
      <c r="W31" s="93" t="str">
        <f t="shared" si="0"/>
        <v/>
      </c>
      <c r="X31" s="94" t="str">
        <f>IF(AND(A31&gt;=Parameters!$B$15,A31&lt;=Parameters!$C$15),($L$47*Parameters!$B$45+$M$47*Parameters!$B$46+$N$47*Parameters!$B$47)*0.5,"")</f>
        <v/>
      </c>
      <c r="Z31" s="99">
        <f>(1+Parameters!$B$52)^-A31</f>
        <v>0.99323377638699561</v>
      </c>
      <c r="AA31" s="94">
        <f t="shared" si="1"/>
        <v>-248.3084440967489</v>
      </c>
      <c r="AC31" s="99">
        <f t="shared" si="2"/>
        <v>0.94073005533655729</v>
      </c>
      <c r="AD31" s="94">
        <f t="shared" si="3"/>
        <v>-235.18251383413931</v>
      </c>
    </row>
    <row r="32" spans="1:30" x14ac:dyDescent="0.2">
      <c r="A32" s="71">
        <f t="shared" si="4"/>
        <v>27</v>
      </c>
      <c r="B32" s="74" t="str">
        <f>IF(AND(A32&gt;=Parameters!$B$12,A32&lt;=Parameters!$C$12),"Yes","")</f>
        <v/>
      </c>
      <c r="C32" s="75" t="str">
        <f>IF(AND(A32&gt;=Parameters!$B$13,A32&lt;=Parameters!$C$13),"Yes","")</f>
        <v/>
      </c>
      <c r="D32" s="75" t="str">
        <f>IF(AND(A32&gt;=Parameters!$B$14,A32&lt;=Parameters!$C$14),"Yes","")</f>
        <v>Yes</v>
      </c>
      <c r="E32" s="76" t="str">
        <f>IF(AND(A32&gt;=Parameters!$B$15,A32&lt;=Parameters!$C$15),"Yes","")</f>
        <v/>
      </c>
      <c r="G32" s="83" t="str">
        <f>IF($B32="Yes",G31-Parameters!$D$20,"")</f>
        <v/>
      </c>
      <c r="H32" s="84" t="str">
        <f>IF($B32="Yes",H31-Parameters!$D$21,"")</f>
        <v/>
      </c>
      <c r="I32" s="84" t="str">
        <f>IF($B32="Yes",I31-Parameters!$D$22,"")</f>
        <v/>
      </c>
      <c r="J32" s="85" t="str">
        <f t="shared" si="6"/>
        <v/>
      </c>
      <c r="L32" s="83">
        <f>IF(A32=Parameters!$C$13,$G$51*Parameters!$D$24,IF(D32="Yes",L31*(1-Parameters!$E$27),""))</f>
        <v>497.15643824000006</v>
      </c>
      <c r="M32" s="84">
        <f>IF(A32=Parameters!$C$13,$H$51*Parameters!$D$24,IF(D32="Yes",M31*(1-Parameters!$E$28),""))</f>
        <v>700.53861751999989</v>
      </c>
      <c r="N32" s="84">
        <f>IF(A32=Parameters!$C$13,$I$51*Parameters!$D$24,IF(D32="Yes",N31*(1-Parameters!$E$29),""))</f>
        <v>700.53861751999989</v>
      </c>
      <c r="O32" s="89">
        <f>IF(OR(A32&lt;Parameters!$C$13,A32&gt;Parameters!$C$14),"",SUM(L32:N32))</f>
        <v>1898.2336732799997</v>
      </c>
      <c r="Q32" s="74" t="str">
        <f>IF(A32=Parameters!$B$12-1,-Parameters!$B$36*J32,"")</f>
        <v/>
      </c>
      <c r="R32" s="75" t="str">
        <f>IF(AND(A32&gt;=Parameters!$B$12,A32&lt;=Parameters!$C$12),-Parameters!$D$36,"")</f>
        <v/>
      </c>
      <c r="S32" s="23"/>
      <c r="T32" s="75" t="str">
        <f>IF(AND(A32&gt;=Parameters!$B$13,A32&lt;=Parameters!$C$13),-Parameters!$C$39,"")</f>
        <v/>
      </c>
      <c r="U32" s="75" t="str">
        <f>IF(A32=Parameters!C$13,-Parameters!$C$37*O32,"")</f>
        <v/>
      </c>
      <c r="V32" s="75">
        <f>IF(AND(A32&gt;=Parameters!$B$14,A32&lt;=Parameters!$C$14),-Parameters!$D$37,"")</f>
        <v>-250</v>
      </c>
      <c r="W32" s="93" t="str">
        <f t="shared" si="0"/>
        <v/>
      </c>
      <c r="X32" s="94" t="str">
        <f>IF(AND(A32&gt;=Parameters!$B$15,A32&lt;=Parameters!$C$15),($L$47*Parameters!$B$45+$M$47*Parameters!$B$46+$N$47*Parameters!$B$47)*0.5,"")</f>
        <v/>
      </c>
      <c r="Z32" s="99">
        <f>(1+Parameters!$B$52)^-A32</f>
        <v>0.99297445328778489</v>
      </c>
      <c r="AA32" s="94">
        <f t="shared" si="1"/>
        <v>-248.24361332194621</v>
      </c>
      <c r="AC32" s="99">
        <f t="shared" si="2"/>
        <v>0.93852196953627776</v>
      </c>
      <c r="AD32" s="94">
        <f t="shared" si="3"/>
        <v>-234.63049238406944</v>
      </c>
    </row>
    <row r="33" spans="1:30" x14ac:dyDescent="0.2">
      <c r="A33" s="71">
        <f t="shared" si="4"/>
        <v>28</v>
      </c>
      <c r="B33" s="74" t="str">
        <f>IF(AND(A33&gt;=Parameters!$B$12,A33&lt;=Parameters!$C$12),"Yes","")</f>
        <v/>
      </c>
      <c r="C33" s="75" t="str">
        <f>IF(AND(A33&gt;=Parameters!$B$13,A33&lt;=Parameters!$C$13),"Yes","")</f>
        <v/>
      </c>
      <c r="D33" s="75" t="str">
        <f>IF(AND(A33&gt;=Parameters!$B$14,A33&lt;=Parameters!$C$14),"Yes","")</f>
        <v>Yes</v>
      </c>
      <c r="E33" s="76" t="str">
        <f>IF(AND(A33&gt;=Parameters!$B$15,A33&lt;=Parameters!$C$15),"Yes","")</f>
        <v/>
      </c>
      <c r="G33" s="83" t="str">
        <f>IF($B33="Yes",G32-Parameters!$D$20,"")</f>
        <v/>
      </c>
      <c r="H33" s="84" t="str">
        <f>IF($B33="Yes",H32-Parameters!$D$21,"")</f>
        <v/>
      </c>
      <c r="I33" s="84" t="str">
        <f>IF($B33="Yes",I32-Parameters!$D$22,"")</f>
        <v/>
      </c>
      <c r="J33" s="85" t="str">
        <f t="shared" si="6"/>
        <v/>
      </c>
      <c r="L33" s="83">
        <f>IF(A33=Parameters!$C$13,$G$51*Parameters!$D$24,IF(D33="Yes",L32*(1-Parameters!$E$27),""))</f>
        <v>487.21330947520005</v>
      </c>
      <c r="M33" s="84">
        <f>IF(A33=Parameters!$C$13,$H$51*Parameters!$D$24,IF(D33="Yes",M32*(1-Parameters!$E$28),""))</f>
        <v>686.52784516959991</v>
      </c>
      <c r="N33" s="84">
        <f>IF(A33=Parameters!$C$13,$I$51*Parameters!$D$24,IF(D33="Yes",N32*(1-Parameters!$E$29),""))</f>
        <v>686.52784516959991</v>
      </c>
      <c r="O33" s="89">
        <f>IF(OR(A33&lt;Parameters!$C$13,A33&gt;Parameters!$C$14),"",SUM(L33:N33))</f>
        <v>1860.2689998143999</v>
      </c>
      <c r="Q33" s="74" t="str">
        <f>IF(A33=Parameters!$B$12-1,-Parameters!$B$36*J33,"")</f>
        <v/>
      </c>
      <c r="R33" s="75" t="str">
        <f>IF(AND(A33&gt;=Parameters!$B$12,A33&lt;=Parameters!$C$12),-Parameters!$D$36,"")</f>
        <v/>
      </c>
      <c r="S33" s="23"/>
      <c r="T33" s="75" t="str">
        <f>IF(AND(A33&gt;=Parameters!$B$13,A33&lt;=Parameters!$C$13),-Parameters!$C$39,"")</f>
        <v/>
      </c>
      <c r="U33" s="75" t="str">
        <f>IF(A33=Parameters!C$13,-Parameters!$C$37*O33,"")</f>
        <v/>
      </c>
      <c r="V33" s="75">
        <f>IF(AND(A33&gt;=Parameters!$B$14,A33&lt;=Parameters!$C$14),-Parameters!$D$37,"")</f>
        <v>-250</v>
      </c>
      <c r="W33" s="93" t="str">
        <f t="shared" si="0"/>
        <v/>
      </c>
      <c r="X33" s="94" t="str">
        <f>IF(AND(A33&gt;=Parameters!$B$15,A33&lt;=Parameters!$C$15),($L$47*Parameters!$B$45+$M$47*Parameters!$B$46+$N$47*Parameters!$B$47)*0.5,"")</f>
        <v/>
      </c>
      <c r="Z33" s="99">
        <f>(1+Parameters!$B$52)^-A33</f>
        <v>0.9927151978951626</v>
      </c>
      <c r="AA33" s="94">
        <f t="shared" si="1"/>
        <v>-248.17879947379066</v>
      </c>
      <c r="AC33" s="99">
        <f t="shared" si="2"/>
        <v>0.93631906656488051</v>
      </c>
      <c r="AD33" s="94">
        <f t="shared" si="3"/>
        <v>-234.07976664122012</v>
      </c>
    </row>
    <row r="34" spans="1:30" x14ac:dyDescent="0.2">
      <c r="A34" s="71">
        <f t="shared" si="4"/>
        <v>29</v>
      </c>
      <c r="B34" s="74" t="str">
        <f>IF(AND(A34&gt;=Parameters!$B$12,A34&lt;=Parameters!$C$12),"Yes","")</f>
        <v/>
      </c>
      <c r="C34" s="75" t="str">
        <f>IF(AND(A34&gt;=Parameters!$B$13,A34&lt;=Parameters!$C$13),"Yes","")</f>
        <v/>
      </c>
      <c r="D34" s="75" t="str">
        <f>IF(AND(A34&gt;=Parameters!$B$14,A34&lt;=Parameters!$C$14),"Yes","")</f>
        <v>Yes</v>
      </c>
      <c r="E34" s="76" t="str">
        <f>IF(AND(A34&gt;=Parameters!$B$15,A34&lt;=Parameters!$C$15),"Yes","")</f>
        <v/>
      </c>
      <c r="G34" s="83" t="str">
        <f>IF($B34="Yes",G33-Parameters!$D$20,"")</f>
        <v/>
      </c>
      <c r="H34" s="84" t="str">
        <f>IF($B34="Yes",H33-Parameters!$D$21,"")</f>
        <v/>
      </c>
      <c r="I34" s="84" t="str">
        <f>IF($B34="Yes",I33-Parameters!$D$22,"")</f>
        <v/>
      </c>
      <c r="J34" s="85" t="str">
        <f t="shared" si="6"/>
        <v/>
      </c>
      <c r="L34" s="83">
        <f>IF(A34=Parameters!$C$13,$G$51*Parameters!$D$24,IF(D34="Yes",L33*(1-Parameters!$E$27),""))</f>
        <v>477.46904328569605</v>
      </c>
      <c r="M34" s="84">
        <f>IF(A34=Parameters!$C$13,$H$51*Parameters!$D$24,IF(D34="Yes",M33*(1-Parameters!$E$28),""))</f>
        <v>672.79728826620794</v>
      </c>
      <c r="N34" s="84">
        <f>IF(A34=Parameters!$C$13,$I$51*Parameters!$D$24,IF(D34="Yes",N33*(1-Parameters!$E$29),""))</f>
        <v>672.79728826620794</v>
      </c>
      <c r="O34" s="89">
        <f>IF(OR(A34&lt;Parameters!$C$13,A34&gt;Parameters!$C$14),"",SUM(L34:N34))</f>
        <v>1823.0636198181119</v>
      </c>
      <c r="Q34" s="74" t="str">
        <f>IF(A34=Parameters!$B$12-1,-Parameters!$B$36*J34,"")</f>
        <v/>
      </c>
      <c r="R34" s="75" t="str">
        <f>IF(AND(A34&gt;=Parameters!$B$12,A34&lt;=Parameters!$C$12),-Parameters!$D$36,"")</f>
        <v/>
      </c>
      <c r="S34" s="23"/>
      <c r="T34" s="75" t="str">
        <f>IF(AND(A34&gt;=Parameters!$B$13,A34&lt;=Parameters!$C$13),-Parameters!$C$39,"")</f>
        <v/>
      </c>
      <c r="U34" s="75" t="str">
        <f>IF(A34=Parameters!C$13,-Parameters!$C$37*O34,"")</f>
        <v/>
      </c>
      <c r="V34" s="75">
        <f>IF(AND(A34&gt;=Parameters!$B$14,A34&lt;=Parameters!$C$14),-Parameters!$D$37,"")</f>
        <v>-250</v>
      </c>
      <c r="W34" s="93" t="str">
        <f t="shared" si="0"/>
        <v/>
      </c>
      <c r="X34" s="94" t="str">
        <f>IF(AND(A34&gt;=Parameters!$B$15,A34&lt;=Parameters!$C$15),($L$47*Parameters!$B$45+$M$47*Parameters!$B$46+$N$47*Parameters!$B$47)*0.5,"")</f>
        <v/>
      </c>
      <c r="Z34" s="99">
        <f>(1+Parameters!$B$52)^-A34</f>
        <v>0.99245601019145024</v>
      </c>
      <c r="AA34" s="94">
        <f t="shared" si="1"/>
        <v>-248.11400254786255</v>
      </c>
      <c r="AC34" s="99">
        <f t="shared" si="2"/>
        <v>0.93412133425720667</v>
      </c>
      <c r="AD34" s="94">
        <f t="shared" si="3"/>
        <v>-233.53033356430166</v>
      </c>
    </row>
    <row r="35" spans="1:30" x14ac:dyDescent="0.2">
      <c r="A35" s="71">
        <f t="shared" si="4"/>
        <v>30</v>
      </c>
      <c r="B35" s="74" t="str">
        <f>IF(AND(A35&gt;=Parameters!$B$12,A35&lt;=Parameters!$C$12),"Yes","")</f>
        <v/>
      </c>
      <c r="C35" s="75" t="str">
        <f>IF(AND(A35&gt;=Parameters!$B$13,A35&lt;=Parameters!$C$13),"Yes","")</f>
        <v/>
      </c>
      <c r="D35" s="75" t="str">
        <f>IF(AND(A35&gt;=Parameters!$B$14,A35&lt;=Parameters!$C$14),"Yes","")</f>
        <v>Yes</v>
      </c>
      <c r="E35" s="76" t="str">
        <f>IF(AND(A35&gt;=Parameters!$B$15,A35&lt;=Parameters!$C$15),"Yes","")</f>
        <v/>
      </c>
      <c r="G35" s="83" t="str">
        <f>IF($B35="Yes",G34-Parameters!$D$20,"")</f>
        <v/>
      </c>
      <c r="H35" s="84" t="str">
        <f>IF($B35="Yes",H34-Parameters!$D$21,"")</f>
        <v/>
      </c>
      <c r="I35" s="84" t="str">
        <f>IF($B35="Yes",I34-Parameters!$D$22,"")</f>
        <v/>
      </c>
      <c r="J35" s="85" t="str">
        <f t="shared" si="6"/>
        <v/>
      </c>
      <c r="L35" s="83">
        <f>IF(A35=Parameters!$C$13,$G$51*Parameters!$D$24,IF(D35="Yes",L34*(1-Parameters!$E$27),""))</f>
        <v>467.9196624199821</v>
      </c>
      <c r="M35" s="84">
        <f>IF(A35=Parameters!$C$13,$H$51*Parameters!$D$24,IF(D35="Yes",M34*(1-Parameters!$E$28),""))</f>
        <v>659.3413425008838</v>
      </c>
      <c r="N35" s="84">
        <f>IF(A35=Parameters!$C$13,$I$51*Parameters!$D$24,IF(D35="Yes",N34*(1-Parameters!$E$29),""))</f>
        <v>659.3413425008838</v>
      </c>
      <c r="O35" s="89">
        <f>IF(OR(A35&lt;Parameters!$C$13,A35&gt;Parameters!$C$14),"",SUM(L35:N35))</f>
        <v>1786.6023474217495</v>
      </c>
      <c r="Q35" s="74" t="str">
        <f>IF(A35=Parameters!$B$12-1,-Parameters!$B$36*J35,"")</f>
        <v/>
      </c>
      <c r="R35" s="75" t="str">
        <f>IF(AND(A35&gt;=Parameters!$B$12,A35&lt;=Parameters!$C$12),-Parameters!$D$36,"")</f>
        <v/>
      </c>
      <c r="S35" s="23"/>
      <c r="T35" s="75" t="str">
        <f>IF(AND(A35&gt;=Parameters!$B$13,A35&lt;=Parameters!$C$13),-Parameters!$C$39,"")</f>
        <v/>
      </c>
      <c r="U35" s="75" t="str">
        <f>IF(A35=Parameters!C$13,-Parameters!$C$37*O35,"")</f>
        <v/>
      </c>
      <c r="V35" s="75">
        <f>IF(AND(A35&gt;=Parameters!$B$14,A35&lt;=Parameters!$C$14),-Parameters!$D$37,"")</f>
        <v>-250</v>
      </c>
      <c r="W35" s="93" t="str">
        <f t="shared" si="0"/>
        <v/>
      </c>
      <c r="X35" s="94" t="str">
        <f>IF(AND(A35&gt;=Parameters!$B$15,A35&lt;=Parameters!$C$15),($L$47*Parameters!$B$45+$M$47*Parameters!$B$46+$N$47*Parameters!$B$47)*0.5,"")</f>
        <v/>
      </c>
      <c r="Z35" s="99">
        <f>(1+Parameters!$B$52)^-A35</f>
        <v>0.99219689015897539</v>
      </c>
      <c r="AA35" s="94">
        <f t="shared" si="1"/>
        <v>-248.04922253974385</v>
      </c>
      <c r="AC35" s="99">
        <f t="shared" si="2"/>
        <v>0.93192876047665085</v>
      </c>
      <c r="AD35" s="94">
        <f t="shared" si="3"/>
        <v>-232.98219011916271</v>
      </c>
    </row>
    <row r="36" spans="1:30" x14ac:dyDescent="0.2">
      <c r="A36" s="71">
        <f t="shared" si="4"/>
        <v>31</v>
      </c>
      <c r="B36" s="74" t="str">
        <f>IF(AND(A36&gt;=Parameters!$B$12,A36&lt;=Parameters!$C$12),"Yes","")</f>
        <v/>
      </c>
      <c r="C36" s="75" t="str">
        <f>IF(AND(A36&gt;=Parameters!$B$13,A36&lt;=Parameters!$C$13),"Yes","")</f>
        <v/>
      </c>
      <c r="D36" s="75" t="str">
        <f>IF(AND(A36&gt;=Parameters!$B$14,A36&lt;=Parameters!$C$14),"Yes","")</f>
        <v>Yes</v>
      </c>
      <c r="E36" s="76" t="str">
        <f>IF(AND(A36&gt;=Parameters!$B$15,A36&lt;=Parameters!$C$15),"Yes","")</f>
        <v/>
      </c>
      <c r="G36" s="83" t="str">
        <f>IF($B36="Yes",G35-Parameters!$D$20,"")</f>
        <v/>
      </c>
      <c r="H36" s="84" t="str">
        <f>IF($B36="Yes",H35-Parameters!$D$21,"")</f>
        <v/>
      </c>
      <c r="I36" s="84" t="str">
        <f>IF($B36="Yes",I35-Parameters!$D$22,"")</f>
        <v/>
      </c>
      <c r="J36" s="85" t="str">
        <f t="shared" si="6"/>
        <v/>
      </c>
      <c r="L36" s="83">
        <f>IF(A36=Parameters!$C$13,$G$51*Parameters!$D$24,IF(D36="Yes",L35*(1-Parameters!$E$27),""))</f>
        <v>458.56126917158247</v>
      </c>
      <c r="M36" s="84">
        <f>IF(A36=Parameters!$C$13,$H$51*Parameters!$D$24,IF(D36="Yes",M35*(1-Parameters!$E$28),""))</f>
        <v>646.15451565086607</v>
      </c>
      <c r="N36" s="84">
        <f>IF(A36=Parameters!$C$13,$I$51*Parameters!$D$24,IF(D36="Yes",N35*(1-Parameters!$E$29),""))</f>
        <v>646.15451565086607</v>
      </c>
      <c r="O36" s="89">
        <f>IF(OR(A36&lt;Parameters!$C$13,A36&gt;Parameters!$C$14),"",SUM(L36:N36))</f>
        <v>1750.8703004733147</v>
      </c>
      <c r="Q36" s="74" t="str">
        <f>IF(A36=Parameters!$B$12-1,-Parameters!$B$36*J36,"")</f>
        <v/>
      </c>
      <c r="R36" s="75" t="str">
        <f>IF(AND(A36&gt;=Parameters!$B$12,A36&lt;=Parameters!$C$12),-Parameters!$D$36,"")</f>
        <v/>
      </c>
      <c r="S36" s="23"/>
      <c r="T36" s="75" t="str">
        <f>IF(AND(A36&gt;=Parameters!$B$13,A36&lt;=Parameters!$C$13),-Parameters!$C$39,"")</f>
        <v/>
      </c>
      <c r="U36" s="75" t="str">
        <f>IF(A36=Parameters!C$13,-Parameters!$C$37*O36,"")</f>
        <v/>
      </c>
      <c r="V36" s="75">
        <f>IF(AND(A36&gt;=Parameters!$B$14,A36&lt;=Parameters!$C$14),-Parameters!$D$37,"")</f>
        <v>-250</v>
      </c>
      <c r="W36" s="93" t="str">
        <f t="shared" si="0"/>
        <v/>
      </c>
      <c r="X36" s="94" t="str">
        <f>IF(AND(A36&gt;=Parameters!$B$15,A36&lt;=Parameters!$C$15),($L$47*Parameters!$B$45+$M$47*Parameters!$B$46+$N$47*Parameters!$B$47)*0.5,"")</f>
        <v/>
      </c>
      <c r="Z36" s="99">
        <f>(1+Parameters!$B$52)^-A36</f>
        <v>0.99193783778006905</v>
      </c>
      <c r="AA36" s="94">
        <f t="shared" si="1"/>
        <v>-247.98445944501725</v>
      </c>
      <c r="AC36" s="99">
        <f t="shared" si="2"/>
        <v>0.92974133311509544</v>
      </c>
      <c r="AD36" s="94">
        <f t="shared" si="3"/>
        <v>-232.43533327877387</v>
      </c>
    </row>
    <row r="37" spans="1:30" x14ac:dyDescent="0.2">
      <c r="A37" s="71">
        <f t="shared" si="4"/>
        <v>32</v>
      </c>
      <c r="B37" s="74" t="str">
        <f>IF(AND(A37&gt;=Parameters!$B$12,A37&lt;=Parameters!$C$12),"Yes","")</f>
        <v/>
      </c>
      <c r="C37" s="75" t="str">
        <f>IF(AND(A37&gt;=Parameters!$B$13,A37&lt;=Parameters!$C$13),"Yes","")</f>
        <v/>
      </c>
      <c r="D37" s="75" t="str">
        <f>IF(AND(A37&gt;=Parameters!$B$14,A37&lt;=Parameters!$C$14),"Yes","")</f>
        <v>Yes</v>
      </c>
      <c r="E37" s="76" t="str">
        <f>IF(AND(A37&gt;=Parameters!$B$15,A37&lt;=Parameters!$C$15),"Yes","")</f>
        <v/>
      </c>
      <c r="G37" s="83" t="str">
        <f>IF($B37="Yes",G36-Parameters!$D$20,"")</f>
        <v/>
      </c>
      <c r="H37" s="84" t="str">
        <f>IF($B37="Yes",H36-Parameters!$D$21,"")</f>
        <v/>
      </c>
      <c r="I37" s="84" t="str">
        <f>IF($B37="Yes",I36-Parameters!$D$22,"")</f>
        <v/>
      </c>
      <c r="J37" s="85" t="str">
        <f t="shared" si="6"/>
        <v/>
      </c>
      <c r="L37" s="83">
        <f>IF(A37=Parameters!$C$13,$G$51*Parameters!$D$24,IF(D37="Yes",L36*(1-Parameters!$E$27),""))</f>
        <v>449.39004378815082</v>
      </c>
      <c r="M37" s="84">
        <f>IF(A37=Parameters!$C$13,$H$51*Parameters!$D$24,IF(D37="Yes",M36*(1-Parameters!$E$28),""))</f>
        <v>633.23142533784869</v>
      </c>
      <c r="N37" s="84">
        <f>IF(A37=Parameters!$C$13,$I$51*Parameters!$D$24,IF(D37="Yes",N36*(1-Parameters!$E$29),""))</f>
        <v>633.23142533784869</v>
      </c>
      <c r="O37" s="89">
        <f>IF(OR(A37&lt;Parameters!$C$13,A37&gt;Parameters!$C$14),"",SUM(L37:N37))</f>
        <v>1715.8528944638483</v>
      </c>
      <c r="Q37" s="74" t="str">
        <f>IF(A37=Parameters!$B$12-1,-Parameters!$B$36*J37,"")</f>
        <v/>
      </c>
      <c r="R37" s="75" t="str">
        <f>IF(AND(A37&gt;=Parameters!$B$12,A37&lt;=Parameters!$C$12),-Parameters!$D$36,"")</f>
        <v/>
      </c>
      <c r="S37" s="23"/>
      <c r="T37" s="75" t="str">
        <f>IF(AND(A37&gt;=Parameters!$B$13,A37&lt;=Parameters!$C$13),-Parameters!$C$39,"")</f>
        <v/>
      </c>
      <c r="U37" s="75" t="str">
        <f>IF(A37=Parameters!C$13,-Parameters!$C$37*O37,"")</f>
        <v/>
      </c>
      <c r="V37" s="75">
        <f>IF(AND(A37&gt;=Parameters!$B$14,A37&lt;=Parameters!$C$14),-Parameters!$D$37,"")</f>
        <v>-250</v>
      </c>
      <c r="W37" s="93" t="str">
        <f t="shared" si="0"/>
        <v/>
      </c>
      <c r="X37" s="94" t="str">
        <f>IF(AND(A37&gt;=Parameters!$B$15,A37&lt;=Parameters!$C$15),($L$47*Parameters!$B$45+$M$47*Parameters!$B$46+$N$47*Parameters!$B$47)*0.5,"")</f>
        <v/>
      </c>
      <c r="Z37" s="99">
        <f>(1+Parameters!$B$52)^-A37</f>
        <v>0.99167885303706882</v>
      </c>
      <c r="AA37" s="94">
        <f t="shared" si="1"/>
        <v>-247.91971325926721</v>
      </c>
      <c r="AC37" s="99">
        <f t="shared" si="2"/>
        <v>0.92755904009284251</v>
      </c>
      <c r="AD37" s="94">
        <f t="shared" si="3"/>
        <v>-231.88976002321064</v>
      </c>
    </row>
    <row r="38" spans="1:30" x14ac:dyDescent="0.2">
      <c r="A38" s="71">
        <f t="shared" si="4"/>
        <v>33</v>
      </c>
      <c r="B38" s="74" t="str">
        <f>IF(AND(A38&gt;=Parameters!$B$12,A38&lt;=Parameters!$C$12),"Yes","")</f>
        <v/>
      </c>
      <c r="C38" s="75" t="str">
        <f>IF(AND(A38&gt;=Parameters!$B$13,A38&lt;=Parameters!$C$13),"Yes","")</f>
        <v/>
      </c>
      <c r="D38" s="75" t="str">
        <f>IF(AND(A38&gt;=Parameters!$B$14,A38&lt;=Parameters!$C$14),"Yes","")</f>
        <v>Yes</v>
      </c>
      <c r="E38" s="76" t="str">
        <f>IF(AND(A38&gt;=Parameters!$B$15,A38&lt;=Parameters!$C$15),"Yes","")</f>
        <v/>
      </c>
      <c r="G38" s="83" t="str">
        <f>IF($B38="Yes",G37-Parameters!$D$20,"")</f>
        <v/>
      </c>
      <c r="H38" s="84" t="str">
        <f>IF($B38="Yes",H37-Parameters!$D$21,"")</f>
        <v/>
      </c>
      <c r="I38" s="84" t="str">
        <f>IF($B38="Yes",I37-Parameters!$D$22,"")</f>
        <v/>
      </c>
      <c r="J38" s="85" t="str">
        <f t="shared" si="6"/>
        <v/>
      </c>
      <c r="L38" s="83">
        <f>IF(A38=Parameters!$C$13,$G$51*Parameters!$D$24,IF(D38="Yes",L37*(1-Parameters!$E$27),""))</f>
        <v>440.40224291238781</v>
      </c>
      <c r="M38" s="84">
        <f>IF(A38=Parameters!$C$13,$H$51*Parameters!$D$24,IF(D38="Yes",M37*(1-Parameters!$E$28),""))</f>
        <v>620.56679683109166</v>
      </c>
      <c r="N38" s="84">
        <f>IF(A38=Parameters!$C$13,$I$51*Parameters!$D$24,IF(D38="Yes",N37*(1-Parameters!$E$29),""))</f>
        <v>620.56679683109166</v>
      </c>
      <c r="O38" s="89">
        <f>IF(OR(A38&lt;Parameters!$C$13,A38&gt;Parameters!$C$14),"",SUM(L38:N38))</f>
        <v>1681.535836574571</v>
      </c>
      <c r="Q38" s="74" t="str">
        <f>IF(A38=Parameters!$B$12-1,-Parameters!$B$36*J38,"")</f>
        <v/>
      </c>
      <c r="R38" s="75" t="str">
        <f>IF(AND(A38&gt;=Parameters!$B$12,A38&lt;=Parameters!$C$12),-Parameters!$D$36,"")</f>
        <v/>
      </c>
      <c r="S38" s="23"/>
      <c r="T38" s="75" t="str">
        <f>IF(AND(A38&gt;=Parameters!$B$13,A38&lt;=Parameters!$C$13),-Parameters!$C$39,"")</f>
        <v/>
      </c>
      <c r="U38" s="75" t="str">
        <f>IF(A38=Parameters!C$13,-Parameters!$C$37*O38,"")</f>
        <v/>
      </c>
      <c r="V38" s="75">
        <f>IF(AND(A38&gt;=Parameters!$B$14,A38&lt;=Parameters!$C$14),-Parameters!$D$37,"")</f>
        <v>-250</v>
      </c>
      <c r="W38" s="93" t="str">
        <f t="shared" si="0"/>
        <v/>
      </c>
      <c r="X38" s="94" t="str">
        <f>IF(AND(A38&gt;=Parameters!$B$15,A38&lt;=Parameters!$C$15),($L$47*Parameters!$B$45+$M$47*Parameters!$B$46+$N$47*Parameters!$B$47)*0.5,"")</f>
        <v/>
      </c>
      <c r="Z38" s="99">
        <f>(1+Parameters!$B$52)^-A38</f>
        <v>0.99141993591231481</v>
      </c>
      <c r="AA38" s="94">
        <f t="shared" si="1"/>
        <v>-247.85498397807871</v>
      </c>
      <c r="AC38" s="99">
        <f t="shared" si="2"/>
        <v>0.92538186935854805</v>
      </c>
      <c r="AD38" s="94">
        <f t="shared" si="3"/>
        <v>-231.34546733963703</v>
      </c>
    </row>
    <row r="39" spans="1:30" x14ac:dyDescent="0.2">
      <c r="A39" s="71">
        <f t="shared" si="4"/>
        <v>34</v>
      </c>
      <c r="B39" s="74" t="str">
        <f>IF(AND(A39&gt;=Parameters!$B$12,A39&lt;=Parameters!$C$12),"Yes","")</f>
        <v/>
      </c>
      <c r="C39" s="75" t="str">
        <f>IF(AND(A39&gt;=Parameters!$B$13,A39&lt;=Parameters!$C$13),"Yes","")</f>
        <v/>
      </c>
      <c r="D39" s="75" t="str">
        <f>IF(AND(A39&gt;=Parameters!$B$14,A39&lt;=Parameters!$C$14),"Yes","")</f>
        <v>Yes</v>
      </c>
      <c r="E39" s="76" t="str">
        <f>IF(AND(A39&gt;=Parameters!$B$15,A39&lt;=Parameters!$C$15),"Yes","")</f>
        <v/>
      </c>
      <c r="G39" s="83" t="str">
        <f>IF($B39="Yes",G38-Parameters!$D$20,"")</f>
        <v/>
      </c>
      <c r="H39" s="84" t="str">
        <f>IF($B39="Yes",H38-Parameters!$D$21,"")</f>
        <v/>
      </c>
      <c r="I39" s="84" t="str">
        <f>IF($B39="Yes",I38-Parameters!$D$22,"")</f>
        <v/>
      </c>
      <c r="J39" s="85" t="str">
        <f t="shared" si="6"/>
        <v/>
      </c>
      <c r="L39" s="83">
        <f>IF(A39=Parameters!$C$13,$G$51*Parameters!$D$24,IF(D39="Yes",L38*(1-Parameters!$E$27),""))</f>
        <v>431.59419805414007</v>
      </c>
      <c r="M39" s="84">
        <f>IF(A39=Parameters!$C$13,$H$51*Parameters!$D$24,IF(D39="Yes",M38*(1-Parameters!$E$28),""))</f>
        <v>608.1554608944698</v>
      </c>
      <c r="N39" s="84">
        <f>IF(A39=Parameters!$C$13,$I$51*Parameters!$D$24,IF(D39="Yes",N38*(1-Parameters!$E$29),""))</f>
        <v>608.1554608944698</v>
      </c>
      <c r="O39" s="89">
        <f>IF(OR(A39&lt;Parameters!$C$13,A39&gt;Parameters!$C$14),"",SUM(L39:N39))</f>
        <v>1647.9051198430798</v>
      </c>
      <c r="Q39" s="74" t="str">
        <f>IF(A39=Parameters!$B$12-1,-Parameters!$B$36*J39,"")</f>
        <v/>
      </c>
      <c r="R39" s="75" t="str">
        <f>IF(AND(A39&gt;=Parameters!$B$12,A39&lt;=Parameters!$C$12),-Parameters!$D$36,"")</f>
        <v/>
      </c>
      <c r="S39" s="23"/>
      <c r="T39" s="75" t="str">
        <f>IF(AND(A39&gt;=Parameters!$B$13,A39&lt;=Parameters!$C$13),-Parameters!$C$39,"")</f>
        <v/>
      </c>
      <c r="U39" s="75" t="str">
        <f>IF(A39=Parameters!C$13,-Parameters!$C$37*O39,"")</f>
        <v/>
      </c>
      <c r="V39" s="75">
        <f>IF(AND(A39&gt;=Parameters!$B$14,A39&lt;=Parameters!$C$14),-Parameters!$D$37,"")</f>
        <v>-250</v>
      </c>
      <c r="W39" s="93" t="str">
        <f t="shared" si="0"/>
        <v/>
      </c>
      <c r="X39" s="94" t="str">
        <f>IF(AND(A39&gt;=Parameters!$B$15,A39&lt;=Parameters!$C$15),($L$47*Parameters!$B$45+$M$47*Parameters!$B$46+$N$47*Parameters!$B$47)*0.5,"")</f>
        <v/>
      </c>
      <c r="Z39" s="99">
        <f>(1+Parameters!$B$52)^-A39</f>
        <v>0.99116108638815248</v>
      </c>
      <c r="AA39" s="94">
        <f t="shared" si="1"/>
        <v>-247.79027159703813</v>
      </c>
      <c r="AC39" s="99">
        <f t="shared" si="2"/>
        <v>0.9232098088891546</v>
      </c>
      <c r="AD39" s="94">
        <f t="shared" si="3"/>
        <v>-230.80245222228865</v>
      </c>
    </row>
    <row r="40" spans="1:30" x14ac:dyDescent="0.2">
      <c r="A40" s="71">
        <f t="shared" si="4"/>
        <v>35</v>
      </c>
      <c r="B40" s="74" t="str">
        <f>IF(AND(A40&gt;=Parameters!$B$12,A40&lt;=Parameters!$C$12),"Yes","")</f>
        <v/>
      </c>
      <c r="C40" s="75" t="str">
        <f>IF(AND(A40&gt;=Parameters!$B$13,A40&lt;=Parameters!$C$13),"Yes","")</f>
        <v/>
      </c>
      <c r="D40" s="75" t="str">
        <f>IF(AND(A40&gt;=Parameters!$B$14,A40&lt;=Parameters!$C$14),"Yes","")</f>
        <v>Yes</v>
      </c>
      <c r="E40" s="76" t="str">
        <f>IF(AND(A40&gt;=Parameters!$B$15,A40&lt;=Parameters!$C$15),"Yes","")</f>
        <v/>
      </c>
      <c r="G40" s="83" t="str">
        <f>IF($B40="Yes",G39-Parameters!$D$20,"")</f>
        <v/>
      </c>
      <c r="H40" s="84" t="str">
        <f>IF($B40="Yes",H39-Parameters!$D$21,"")</f>
        <v/>
      </c>
      <c r="I40" s="84" t="str">
        <f>IF($B40="Yes",I39-Parameters!$D$22,"")</f>
        <v/>
      </c>
      <c r="J40" s="85" t="str">
        <f t="shared" si="6"/>
        <v/>
      </c>
      <c r="L40" s="83">
        <f>IF(A40=Parameters!$C$13,$G$51*Parameters!$D$24,IF(D40="Yes",L39*(1-Parameters!$E$27),""))</f>
        <v>422.96231409305727</v>
      </c>
      <c r="M40" s="84">
        <f>IF(A40=Parameters!$C$13,$H$51*Parameters!$D$24,IF(D40="Yes",M39*(1-Parameters!$E$28),""))</f>
        <v>595.99235167658037</v>
      </c>
      <c r="N40" s="84">
        <f>IF(A40=Parameters!$C$13,$I$51*Parameters!$D$24,IF(D40="Yes",N39*(1-Parameters!$E$29),""))</f>
        <v>595.99235167658037</v>
      </c>
      <c r="O40" s="89">
        <f>IF(OR(A40&lt;Parameters!$C$13,A40&gt;Parameters!$C$14),"",SUM(L40:N40))</f>
        <v>1614.9470174462181</v>
      </c>
      <c r="Q40" s="74" t="str">
        <f>IF(A40=Parameters!$B$12-1,-Parameters!$B$36*J40,"")</f>
        <v/>
      </c>
      <c r="R40" s="75" t="str">
        <f>IF(AND(A40&gt;=Parameters!$B$12,A40&lt;=Parameters!$C$12),-Parameters!$D$36,"")</f>
        <v/>
      </c>
      <c r="S40" s="23"/>
      <c r="T40" s="75" t="str">
        <f>IF(AND(A40&gt;=Parameters!$B$13,A40&lt;=Parameters!$C$13),-Parameters!$C$39,"")</f>
        <v/>
      </c>
      <c r="U40" s="75" t="str">
        <f>IF(A40=Parameters!C$13,-Parameters!$C$37*O40,"")</f>
        <v/>
      </c>
      <c r="V40" s="75">
        <f>IF(AND(A40&gt;=Parameters!$B$14,A40&lt;=Parameters!$C$14),-Parameters!$D$37,"")</f>
        <v>-250</v>
      </c>
      <c r="W40" s="93" t="str">
        <f t="shared" si="0"/>
        <v/>
      </c>
      <c r="X40" s="94" t="str">
        <f>IF(AND(A40&gt;=Parameters!$B$15,A40&lt;=Parameters!$C$15),($L$47*Parameters!$B$45+$M$47*Parameters!$B$46+$N$47*Parameters!$B$47)*0.5,"")</f>
        <v/>
      </c>
      <c r="Z40" s="99">
        <f>(1+Parameters!$B$52)^-A40</f>
        <v>0.99090230444693217</v>
      </c>
      <c r="AA40" s="94">
        <f t="shared" si="1"/>
        <v>-247.72557611173303</v>
      </c>
      <c r="AC40" s="99">
        <f t="shared" si="2"/>
        <v>0.92104284668982561</v>
      </c>
      <c r="AD40" s="94">
        <f t="shared" si="3"/>
        <v>-230.26071167245641</v>
      </c>
    </row>
    <row r="41" spans="1:30" x14ac:dyDescent="0.2">
      <c r="A41" s="71">
        <f t="shared" si="4"/>
        <v>36</v>
      </c>
      <c r="B41" s="74" t="str">
        <f>IF(AND(A41&gt;=Parameters!$B$12,A41&lt;=Parameters!$C$12),"Yes","")</f>
        <v/>
      </c>
      <c r="C41" s="75" t="str">
        <f>IF(AND(A41&gt;=Parameters!$B$13,A41&lt;=Parameters!$C$13),"Yes","")</f>
        <v/>
      </c>
      <c r="D41" s="75" t="str">
        <f>IF(AND(A41&gt;=Parameters!$B$14,A41&lt;=Parameters!$C$14),"Yes","")</f>
        <v>Yes</v>
      </c>
      <c r="E41" s="76" t="str">
        <f>IF(AND(A41&gt;=Parameters!$B$15,A41&lt;=Parameters!$C$15),"Yes","")</f>
        <v/>
      </c>
      <c r="G41" s="83" t="str">
        <f>IF($B41="Yes",G40-Parameters!$D$20,"")</f>
        <v/>
      </c>
      <c r="H41" s="84" t="str">
        <f>IF($B41="Yes",H40-Parameters!$D$21,"")</f>
        <v/>
      </c>
      <c r="I41" s="84" t="str">
        <f>IF($B41="Yes",I40-Parameters!$D$22,"")</f>
        <v/>
      </c>
      <c r="J41" s="85" t="str">
        <f t="shared" si="6"/>
        <v/>
      </c>
      <c r="L41" s="83">
        <f>IF(A41=Parameters!$C$13,$G$51*Parameters!$D$24,IF(D41="Yes",L40*(1-Parameters!$E$27),""))</f>
        <v>414.5030678111961</v>
      </c>
      <c r="M41" s="84">
        <f>IF(A41=Parameters!$C$13,$H$51*Parameters!$D$24,IF(D41="Yes",M40*(1-Parameters!$E$28),""))</f>
        <v>584.07250464304877</v>
      </c>
      <c r="N41" s="84">
        <f>IF(A41=Parameters!$C$13,$I$51*Parameters!$D$24,IF(D41="Yes",N40*(1-Parameters!$E$29),""))</f>
        <v>584.07250464304877</v>
      </c>
      <c r="O41" s="89">
        <f>IF(OR(A41&lt;Parameters!$C$13,A41&gt;Parameters!$C$14),"",SUM(L41:N41))</f>
        <v>1582.6480770972935</v>
      </c>
      <c r="Q41" s="74" t="str">
        <f>IF(A41=Parameters!$B$12-1,-Parameters!$B$36*J41,"")</f>
        <v/>
      </c>
      <c r="R41" s="75" t="str">
        <f>IF(AND(A41&gt;=Parameters!$B$12,A41&lt;=Parameters!$C$12),-Parameters!$D$36,"")</f>
        <v/>
      </c>
      <c r="S41" s="23"/>
      <c r="T41" s="75" t="str">
        <f>IF(AND(A41&gt;=Parameters!$B$13,A41&lt;=Parameters!$C$13),-Parameters!$C$39,"")</f>
        <v/>
      </c>
      <c r="U41" s="75" t="str">
        <f>IF(A41=Parameters!C$13,-Parameters!$C$37*O41,"")</f>
        <v/>
      </c>
      <c r="V41" s="75">
        <f>IF(AND(A41&gt;=Parameters!$B$14,A41&lt;=Parameters!$C$14),-Parameters!$D$37,"")</f>
        <v>-250</v>
      </c>
      <c r="W41" s="93" t="str">
        <f t="shared" si="0"/>
        <v/>
      </c>
      <c r="X41" s="94" t="str">
        <f>IF(AND(A41&gt;=Parameters!$B$15,A41&lt;=Parameters!$C$15),($L$47*Parameters!$B$45+$M$47*Parameters!$B$46+$N$47*Parameters!$B$47)*0.5,"")</f>
        <v/>
      </c>
      <c r="Z41" s="99">
        <f>(1+Parameters!$B$52)^-A41</f>
        <v>0.99064359007100933</v>
      </c>
      <c r="AA41" s="94">
        <f t="shared" si="1"/>
        <v>-247.66089751775235</v>
      </c>
      <c r="AC41" s="99">
        <f t="shared" si="2"/>
        <v>0.91888097079387843</v>
      </c>
      <c r="AD41" s="94">
        <f t="shared" si="3"/>
        <v>-229.7202426984696</v>
      </c>
    </row>
    <row r="42" spans="1:30" x14ac:dyDescent="0.2">
      <c r="A42" s="71">
        <f t="shared" si="4"/>
        <v>37</v>
      </c>
      <c r="B42" s="74" t="str">
        <f>IF(AND(A42&gt;=Parameters!$B$12,A42&lt;=Parameters!$C$12),"Yes","")</f>
        <v/>
      </c>
      <c r="C42" s="75" t="str">
        <f>IF(AND(A42&gt;=Parameters!$B$13,A42&lt;=Parameters!$C$13),"Yes","")</f>
        <v/>
      </c>
      <c r="D42" s="75" t="str">
        <f>IF(AND(A42&gt;=Parameters!$B$14,A42&lt;=Parameters!$C$14),"Yes","")</f>
        <v>Yes</v>
      </c>
      <c r="E42" s="76" t="str">
        <f>IF(AND(A42&gt;=Parameters!$B$15,A42&lt;=Parameters!$C$15),"Yes","")</f>
        <v/>
      </c>
      <c r="G42" s="83" t="str">
        <f>IF($B42="Yes",G41-Parameters!$D$20,"")</f>
        <v/>
      </c>
      <c r="H42" s="84" t="str">
        <f>IF($B42="Yes",H41-Parameters!$D$21,"")</f>
        <v/>
      </c>
      <c r="I42" s="84" t="str">
        <f>IF($B42="Yes",I41-Parameters!$D$22,"")</f>
        <v/>
      </c>
      <c r="J42" s="85" t="str">
        <f t="shared" si="6"/>
        <v/>
      </c>
      <c r="L42" s="83">
        <f>IF(A42=Parameters!$C$13,$G$51*Parameters!$D$24,IF(D42="Yes",L41*(1-Parameters!$E$27),""))</f>
        <v>406.21300645497217</v>
      </c>
      <c r="M42" s="84">
        <f>IF(A42=Parameters!$C$13,$H$51*Parameters!$D$24,IF(D42="Yes",M41*(1-Parameters!$E$28),""))</f>
        <v>572.39105455018773</v>
      </c>
      <c r="N42" s="84">
        <f>IF(A42=Parameters!$C$13,$I$51*Parameters!$D$24,IF(D42="Yes",N41*(1-Parameters!$E$29),""))</f>
        <v>572.39105455018773</v>
      </c>
      <c r="O42" s="89">
        <f>IF(OR(A42&lt;Parameters!$C$13,A42&gt;Parameters!$C$14),"",SUM(L42:N42))</f>
        <v>1550.9951155553476</v>
      </c>
      <c r="Q42" s="74" t="str">
        <f>IF(A42=Parameters!$B$12-1,-Parameters!$B$36*J42,"")</f>
        <v/>
      </c>
      <c r="R42" s="75" t="str">
        <f>IF(AND(A42&gt;=Parameters!$B$12,A42&lt;=Parameters!$C$12),-Parameters!$D$36,"")</f>
        <v/>
      </c>
      <c r="S42" s="23"/>
      <c r="T42" s="75" t="str">
        <f>IF(AND(A42&gt;=Parameters!$B$13,A42&lt;=Parameters!$C$13),-Parameters!$C$39,"")</f>
        <v/>
      </c>
      <c r="U42" s="75" t="str">
        <f>IF(A42=Parameters!C$13,-Parameters!$C$37*O42,"")</f>
        <v/>
      </c>
      <c r="V42" s="75">
        <f>IF(AND(A42&gt;=Parameters!$B$14,A42&lt;=Parameters!$C$14),-Parameters!$D$37,"")</f>
        <v>-250</v>
      </c>
      <c r="W42" s="93" t="str">
        <f t="shared" si="0"/>
        <v/>
      </c>
      <c r="X42" s="94" t="str">
        <f>IF(AND(A42&gt;=Parameters!$B$15,A42&lt;=Parameters!$C$15),($L$47*Parameters!$B$45+$M$47*Parameters!$B$46+$N$47*Parameters!$B$47)*0.5,"")</f>
        <v/>
      </c>
      <c r="Z42" s="99">
        <f>(1+Parameters!$B$52)^-A42</f>
        <v>0.99038494324274218</v>
      </c>
      <c r="AA42" s="94">
        <f t="shared" si="1"/>
        <v>-247.59623581068556</v>
      </c>
      <c r="AC42" s="99">
        <f t="shared" si="2"/>
        <v>0.9167241692627196</v>
      </c>
      <c r="AD42" s="94">
        <f t="shared" si="3"/>
        <v>-229.18104231567989</v>
      </c>
    </row>
    <row r="43" spans="1:30" x14ac:dyDescent="0.2">
      <c r="A43" s="71">
        <f t="shared" si="4"/>
        <v>38</v>
      </c>
      <c r="B43" s="74" t="str">
        <f>IF(AND(A43&gt;=Parameters!$B$12,A43&lt;=Parameters!$C$12),"Yes","")</f>
        <v/>
      </c>
      <c r="C43" s="75" t="str">
        <f>IF(AND(A43&gt;=Parameters!$B$13,A43&lt;=Parameters!$C$13),"Yes","")</f>
        <v/>
      </c>
      <c r="D43" s="75" t="str">
        <f>IF(AND(A43&gt;=Parameters!$B$14,A43&lt;=Parameters!$C$14),"Yes","")</f>
        <v>Yes</v>
      </c>
      <c r="E43" s="76" t="str">
        <f>IF(AND(A43&gt;=Parameters!$B$15,A43&lt;=Parameters!$C$15),"Yes","")</f>
        <v/>
      </c>
      <c r="G43" s="83" t="str">
        <f>IF($B43="Yes",G42-Parameters!$D$20,"")</f>
        <v/>
      </c>
      <c r="H43" s="84" t="str">
        <f>IF($B43="Yes",H42-Parameters!$D$21,"")</f>
        <v/>
      </c>
      <c r="I43" s="84" t="str">
        <f>IF($B43="Yes",I42-Parameters!$D$22,"")</f>
        <v/>
      </c>
      <c r="J43" s="85" t="str">
        <f t="shared" si="6"/>
        <v/>
      </c>
      <c r="L43" s="83">
        <f>IF(A43=Parameters!$C$13,$G$51*Parameters!$D$24,IF(D43="Yes",L42*(1-Parameters!$E$27),""))</f>
        <v>398.08874632587271</v>
      </c>
      <c r="M43" s="84">
        <f>IF(A43=Parameters!$C$13,$H$51*Parameters!$D$24,IF(D43="Yes",M42*(1-Parameters!$E$28),""))</f>
        <v>560.94323345918394</v>
      </c>
      <c r="N43" s="84">
        <f>IF(A43=Parameters!$C$13,$I$51*Parameters!$D$24,IF(D43="Yes",N42*(1-Parameters!$E$29),""))</f>
        <v>560.94323345918394</v>
      </c>
      <c r="O43" s="89">
        <f>IF(OR(A43&lt;Parameters!$C$13,A43&gt;Parameters!$C$14),"",SUM(L43:N43))</f>
        <v>1519.9752132442404</v>
      </c>
      <c r="Q43" s="74" t="str">
        <f>IF(A43=Parameters!$B$12-1,-Parameters!$B$36*J43,"")</f>
        <v/>
      </c>
      <c r="R43" s="75" t="str">
        <f>IF(AND(A43&gt;=Parameters!$B$12,A43&lt;=Parameters!$C$12),-Parameters!$D$36,"")</f>
        <v/>
      </c>
      <c r="S43" s="23"/>
      <c r="T43" s="75" t="str">
        <f>IF(AND(A43&gt;=Parameters!$B$13,A43&lt;=Parameters!$C$13),-Parameters!$C$39,"")</f>
        <v/>
      </c>
      <c r="U43" s="75" t="str">
        <f>IF(A43=Parameters!C$13,-Parameters!$C$37*O43,"")</f>
        <v/>
      </c>
      <c r="V43" s="75">
        <f>IF(AND(A43&gt;=Parameters!$B$14,A43&lt;=Parameters!$C$14),-Parameters!$D$37,"")</f>
        <v>-250</v>
      </c>
      <c r="W43" s="93" t="str">
        <f t="shared" si="0"/>
        <v/>
      </c>
      <c r="X43" s="94" t="str">
        <f>IF(AND(A43&gt;=Parameters!$B$15,A43&lt;=Parameters!$C$15),($L$47*Parameters!$B$45+$M$47*Parameters!$B$46+$N$47*Parameters!$B$47)*0.5,"")</f>
        <v/>
      </c>
      <c r="Z43" s="99">
        <f>(1+Parameters!$B$52)^-A43</f>
        <v>0.99012636394449605</v>
      </c>
      <c r="AA43" s="94">
        <f t="shared" si="1"/>
        <v>-247.531590986124</v>
      </c>
      <c r="AC43" s="99">
        <f t="shared" si="2"/>
        <v>0.91457243018577683</v>
      </c>
      <c r="AD43" s="94">
        <f t="shared" si="3"/>
        <v>-228.64310754644421</v>
      </c>
    </row>
    <row r="44" spans="1:30" x14ac:dyDescent="0.2">
      <c r="A44" s="71">
        <f t="shared" si="4"/>
        <v>39</v>
      </c>
      <c r="B44" s="74" t="str">
        <f>IF(AND(A44&gt;=Parameters!$B$12,A44&lt;=Parameters!$C$12),"Yes","")</f>
        <v/>
      </c>
      <c r="C44" s="75" t="str">
        <f>IF(AND(A44&gt;=Parameters!$B$13,A44&lt;=Parameters!$C$13),"Yes","")</f>
        <v/>
      </c>
      <c r="D44" s="75" t="str">
        <f>IF(AND(A44&gt;=Parameters!$B$14,A44&lt;=Parameters!$C$14),"Yes","")</f>
        <v>Yes</v>
      </c>
      <c r="E44" s="76" t="str">
        <f>IF(AND(A44&gt;=Parameters!$B$15,A44&lt;=Parameters!$C$15),"Yes","")</f>
        <v/>
      </c>
      <c r="G44" s="83" t="str">
        <f>IF($B44="Yes",G43-Parameters!$D$20,"")</f>
        <v/>
      </c>
      <c r="H44" s="84" t="str">
        <f>IF($B44="Yes",H43-Parameters!$D$21,"")</f>
        <v/>
      </c>
      <c r="I44" s="84" t="str">
        <f>IF($B44="Yes",I43-Parameters!$D$22,"")</f>
        <v/>
      </c>
      <c r="J44" s="85" t="str">
        <f t="shared" si="6"/>
        <v/>
      </c>
      <c r="L44" s="83">
        <f>IF(A44=Parameters!$C$13,$G$51*Parameters!$D$24,IF(D44="Yes",L43*(1-Parameters!$E$27),""))</f>
        <v>390.12697139935523</v>
      </c>
      <c r="M44" s="84">
        <f>IF(A44=Parameters!$C$13,$H$51*Parameters!$D$24,IF(D44="Yes",M43*(1-Parameters!$E$28),""))</f>
        <v>549.7243687900002</v>
      </c>
      <c r="N44" s="84">
        <f>IF(A44=Parameters!$C$13,$I$51*Parameters!$D$24,IF(D44="Yes",N43*(1-Parameters!$E$29),""))</f>
        <v>549.7243687900002</v>
      </c>
      <c r="O44" s="89">
        <f>IF(OR(A44&lt;Parameters!$C$13,A44&gt;Parameters!$C$14),"",SUM(L44:N44))</f>
        <v>1489.5757089793556</v>
      </c>
      <c r="Q44" s="74" t="str">
        <f>IF(A44=Parameters!$B$12-1,-Parameters!$B$36*J44,"")</f>
        <v/>
      </c>
      <c r="R44" s="75" t="str">
        <f>IF(AND(A44&gt;=Parameters!$B$12,A44&lt;=Parameters!$C$12),-Parameters!$D$36,"")</f>
        <v/>
      </c>
      <c r="S44" s="23"/>
      <c r="T44" s="75" t="str">
        <f>IF(AND(A44&gt;=Parameters!$B$13,A44&lt;=Parameters!$C$13),-Parameters!$C$39,"")</f>
        <v/>
      </c>
      <c r="U44" s="75" t="str">
        <f>IF(A44=Parameters!C$13,-Parameters!$C$37*O44,"")</f>
        <v/>
      </c>
      <c r="V44" s="75">
        <f>IF(AND(A44&gt;=Parameters!$B$14,A44&lt;=Parameters!$C$14),-Parameters!$D$37,"")</f>
        <v>-250</v>
      </c>
      <c r="W44" s="93" t="str">
        <f t="shared" si="0"/>
        <v/>
      </c>
      <c r="X44" s="94" t="str">
        <f>IF(AND(A44&gt;=Parameters!$B$15,A44&lt;=Parameters!$C$15),($L$47*Parameters!$B$45+$M$47*Parameters!$B$46+$N$47*Parameters!$B$47)*0.5,"")</f>
        <v/>
      </c>
      <c r="Z44" s="99">
        <f>(1+Parameters!$B$52)^-A44</f>
        <v>0.98986785215863804</v>
      </c>
      <c r="AA44" s="94">
        <f t="shared" si="1"/>
        <v>-247.4669630396595</v>
      </c>
      <c r="AC44" s="99">
        <f t="shared" si="2"/>
        <v>0.91242574168043511</v>
      </c>
      <c r="AD44" s="94">
        <f t="shared" si="3"/>
        <v>-228.10643542010877</v>
      </c>
    </row>
    <row r="45" spans="1:30" x14ac:dyDescent="0.2">
      <c r="A45" s="71">
        <f t="shared" si="4"/>
        <v>40</v>
      </c>
      <c r="B45" s="74" t="str">
        <f>IF(AND(A45&gt;=Parameters!$B$12,A45&lt;=Parameters!$C$12),"Yes","")</f>
        <v/>
      </c>
      <c r="C45" s="75" t="str">
        <f>IF(AND(A45&gt;=Parameters!$B$13,A45&lt;=Parameters!$C$13),"Yes","")</f>
        <v/>
      </c>
      <c r="D45" s="75" t="str">
        <f>IF(AND(A45&gt;=Parameters!$B$14,A45&lt;=Parameters!$C$14),"Yes","")</f>
        <v>Yes</v>
      </c>
      <c r="E45" s="76" t="str">
        <f>IF(AND(A45&gt;=Parameters!$B$15,A45&lt;=Parameters!$C$15),"Yes","")</f>
        <v/>
      </c>
      <c r="G45" s="83" t="str">
        <f>IF($B45="Yes",G44-Parameters!$D$20,"")</f>
        <v/>
      </c>
      <c r="H45" s="84" t="str">
        <f>IF($B45="Yes",H44-Parameters!$D$21,"")</f>
        <v/>
      </c>
      <c r="I45" s="84" t="str">
        <f>IF($B45="Yes",I44-Parameters!$D$22,"")</f>
        <v/>
      </c>
      <c r="J45" s="85" t="str">
        <f t="shared" si="6"/>
        <v/>
      </c>
      <c r="L45" s="83">
        <f>IF(A45=Parameters!$C$13,$G$51*Parameters!$D$24,IF(D45="Yes",L44*(1-Parameters!$E$27),""))</f>
        <v>382.32443197136814</v>
      </c>
      <c r="M45" s="84">
        <f>IF(A45=Parameters!$C$13,$H$51*Parameters!$D$24,IF(D45="Yes",M44*(1-Parameters!$E$28),""))</f>
        <v>538.72988141420024</v>
      </c>
      <c r="N45" s="84">
        <f>IF(A45=Parameters!$C$13,$I$51*Parameters!$D$24,IF(D45="Yes",N44*(1-Parameters!$E$29),""))</f>
        <v>538.72988141420024</v>
      </c>
      <c r="O45" s="89">
        <f>IF(OR(A45&lt;Parameters!$C$13,A45&gt;Parameters!$C$14),"",SUM(L45:N45))</f>
        <v>1459.7841947997686</v>
      </c>
      <c r="Q45" s="74" t="str">
        <f>IF(A45=Parameters!$B$12-1,-Parameters!$B$36*J45,"")</f>
        <v/>
      </c>
      <c r="R45" s="75" t="str">
        <f>IF(AND(A45&gt;=Parameters!$B$12,A45&lt;=Parameters!$C$12),-Parameters!$D$36,"")</f>
        <v/>
      </c>
      <c r="S45" s="23"/>
      <c r="T45" s="75" t="str">
        <f>IF(AND(A45&gt;=Parameters!$B$13,A45&lt;=Parameters!$C$13),-Parameters!$C$39,"")</f>
        <v/>
      </c>
      <c r="U45" s="75" t="str">
        <f>IF(A45=Parameters!C$13,-Parameters!$C$37*O45,"")</f>
        <v/>
      </c>
      <c r="V45" s="75">
        <f>IF(AND(A45&gt;=Parameters!$B$14,A45&lt;=Parameters!$C$14),-Parameters!$D$37,"")</f>
        <v>-250</v>
      </c>
      <c r="W45" s="93" t="str">
        <f t="shared" si="0"/>
        <v/>
      </c>
      <c r="X45" s="94" t="str">
        <f>IF(AND(A45&gt;=Parameters!$B$15,A45&lt;=Parameters!$C$15),($L$47*Parameters!$B$45+$M$47*Parameters!$B$46+$N$47*Parameters!$B$47)*0.5,"")</f>
        <v/>
      </c>
      <c r="Z45" s="99">
        <f>(1+Parameters!$B$52)^-A45</f>
        <v>0.98960940786754281</v>
      </c>
      <c r="AA45" s="94">
        <f t="shared" si="1"/>
        <v>-247.4023519668857</v>
      </c>
      <c r="AC45" s="99">
        <f t="shared" si="2"/>
        <v>0.91028409189197002</v>
      </c>
      <c r="AD45" s="94">
        <f t="shared" si="3"/>
        <v>-227.57102297299249</v>
      </c>
    </row>
    <row r="46" spans="1:30" x14ac:dyDescent="0.2">
      <c r="A46" s="71">
        <f t="shared" si="4"/>
        <v>41</v>
      </c>
      <c r="B46" s="74" t="str">
        <f>IF(AND(A46&gt;=Parameters!$B$12,A46&lt;=Parameters!$C$12),"Yes","")</f>
        <v/>
      </c>
      <c r="C46" s="75" t="str">
        <f>IF(AND(A46&gt;=Parameters!$B$13,A46&lt;=Parameters!$C$13),"Yes","")</f>
        <v/>
      </c>
      <c r="D46" s="75" t="str">
        <f>IF(AND(A46&gt;=Parameters!$B$14,A46&lt;=Parameters!$C$14),"Yes","")</f>
        <v>Yes</v>
      </c>
      <c r="E46" s="76" t="str">
        <f>IF(AND(A46&gt;=Parameters!$B$15,A46&lt;=Parameters!$C$15),"Yes","")</f>
        <v/>
      </c>
      <c r="G46" s="83" t="str">
        <f>IF($B46="Yes",G45-Parameters!$D$20,"")</f>
        <v/>
      </c>
      <c r="H46" s="84" t="str">
        <f>IF($B46="Yes",H45-Parameters!$D$21,"")</f>
        <v/>
      </c>
      <c r="I46" s="84" t="str">
        <f>IF($B46="Yes",I45-Parameters!$D$22,"")</f>
        <v/>
      </c>
      <c r="J46" s="85" t="str">
        <f t="shared" si="6"/>
        <v/>
      </c>
      <c r="L46" s="83">
        <f>IF(A46=Parameters!$C$13,$G$51*Parameters!$D$24,IF(D46="Yes",L45*(1-Parameters!$E$27),""))</f>
        <v>374.67794333194075</v>
      </c>
      <c r="M46" s="84">
        <f>IF(A46=Parameters!$C$13,$H$51*Parameters!$D$24,IF(D46="Yes",M45*(1-Parameters!$E$28),""))</f>
        <v>527.95528378591621</v>
      </c>
      <c r="N46" s="84">
        <f>IF(A46=Parameters!$C$13,$I$51*Parameters!$D$24,IF(D46="Yes",N45*(1-Parameters!$E$29),""))</f>
        <v>527.95528378591621</v>
      </c>
      <c r="O46" s="89">
        <f>IF(OR(A46&lt;Parameters!$C$13,A46&gt;Parameters!$C$14),"",SUM(L46:N46))</f>
        <v>1430.5885109037731</v>
      </c>
      <c r="Q46" s="74" t="str">
        <f>IF(A46=Parameters!$B$12-1,-Parameters!$B$36*J46,"")</f>
        <v/>
      </c>
      <c r="R46" s="75" t="str">
        <f>IF(AND(A46&gt;=Parameters!$B$12,A46&lt;=Parameters!$C$12),-Parameters!$D$36,"")</f>
        <v/>
      </c>
      <c r="S46" s="23"/>
      <c r="T46" s="75" t="str">
        <f>IF(AND(A46&gt;=Parameters!$B$13,A46&lt;=Parameters!$C$13),-Parameters!$C$39,"")</f>
        <v/>
      </c>
      <c r="U46" s="75" t="str">
        <f>IF(A46=Parameters!C$13,-Parameters!$C$37*O46,"")</f>
        <v/>
      </c>
      <c r="V46" s="75">
        <f>IF(AND(A46&gt;=Parameters!$B$14,A46&lt;=Parameters!$C$14),-Parameters!$D$37,"")</f>
        <v>-250</v>
      </c>
      <c r="W46" s="93" t="str">
        <f t="shared" si="0"/>
        <v/>
      </c>
      <c r="X46" s="94" t="str">
        <f>IF(AND(A46&gt;=Parameters!$B$15,A46&lt;=Parameters!$C$15),($L$47*Parameters!$B$45+$M$47*Parameters!$B$46+$N$47*Parameters!$B$47)*0.5,"")</f>
        <v/>
      </c>
      <c r="Z46" s="99">
        <f>(1+Parameters!$B$52)^-A46</f>
        <v>0.98935103105358724</v>
      </c>
      <c r="AA46" s="94">
        <f t="shared" si="1"/>
        <v>-247.33775776339681</v>
      </c>
      <c r="AC46" s="99">
        <f t="shared" si="2"/>
        <v>0.90814746899348286</v>
      </c>
      <c r="AD46" s="94">
        <f t="shared" si="3"/>
        <v>-227.03686724837073</v>
      </c>
    </row>
    <row r="47" spans="1:30" x14ac:dyDescent="0.2">
      <c r="A47" s="71">
        <f>A46+1</f>
        <v>42</v>
      </c>
      <c r="B47" s="74" t="str">
        <f>IF(AND(A47&gt;=Parameters!$B$12,A47&lt;=Parameters!$C$12),"Yes","")</f>
        <v/>
      </c>
      <c r="C47" s="75" t="str">
        <f>IF(AND(A47&gt;=Parameters!$B$13,A47&lt;=Parameters!$C$13),"Yes","")</f>
        <v/>
      </c>
      <c r="D47" s="75" t="str">
        <f>IF(AND(A47&gt;=Parameters!$B$14,A47&lt;=Parameters!$C$14),"Yes","")</f>
        <v>Yes</v>
      </c>
      <c r="E47" s="76" t="str">
        <f>IF(AND(A47&gt;=Parameters!$B$15,A47&lt;=Parameters!$C$15),"Yes","")</f>
        <v/>
      </c>
      <c r="G47" s="83" t="str">
        <f>IF($B47="Yes",G46-Parameters!$D$20,"")</f>
        <v/>
      </c>
      <c r="H47" s="84" t="str">
        <f>IF($B47="Yes",H46-Parameters!$D$21,"")</f>
        <v/>
      </c>
      <c r="I47" s="84" t="str">
        <f>IF($B47="Yes",I46-Parameters!$D$22,"")</f>
        <v/>
      </c>
      <c r="J47" s="85" t="str">
        <f t="shared" si="6"/>
        <v/>
      </c>
      <c r="L47" s="83">
        <f>IF(A47=Parameters!$C$13,$G$51*Parameters!$D$24,IF(D47="Yes",L46*(1-Parameters!$E$27),""))</f>
        <v>367.18438446530195</v>
      </c>
      <c r="M47" s="84">
        <f>IF(A47=Parameters!$C$13,$H$51*Parameters!$D$24,IF(D47="Yes",M46*(1-Parameters!$E$28),""))</f>
        <v>517.39617811019787</v>
      </c>
      <c r="N47" s="84">
        <f>IF(A47=Parameters!$C$13,$I$51*Parameters!$D$24,IF(D47="Yes",N46*(1-Parameters!$E$29),""))</f>
        <v>517.39617811019787</v>
      </c>
      <c r="O47" s="89">
        <f>IF(OR(A47&lt;Parameters!$C$13,A47&gt;Parameters!$C$14),"",SUM(L47:N47))</f>
        <v>1401.9767406856977</v>
      </c>
      <c r="Q47" s="74" t="str">
        <f>IF(A47=Parameters!$B$12-1,-Parameters!$B$36*J47,"")</f>
        <v/>
      </c>
      <c r="R47" s="75" t="str">
        <f>IF(AND(A47&gt;=Parameters!$B$12,A47&lt;=Parameters!$C$12),-Parameters!$D$36,"")</f>
        <v/>
      </c>
      <c r="S47" s="23"/>
      <c r="T47" s="75" t="str">
        <f>IF(AND(A47&gt;=Parameters!$B$13,A47&lt;=Parameters!$C$13),-Parameters!$C$39,"")</f>
        <v/>
      </c>
      <c r="U47" s="75" t="str">
        <f>IF(A47=Parameters!C$13,-Parameters!$C$37*O47,"")</f>
        <v/>
      </c>
      <c r="V47" s="75">
        <f>IF(AND(A47&gt;=Parameters!$B$14,A47&lt;=Parameters!$C$14),-Parameters!$D$37,"")</f>
        <v>-250</v>
      </c>
      <c r="W47" s="93" t="str">
        <f t="shared" si="0"/>
        <v/>
      </c>
      <c r="X47" s="94" t="str">
        <f>IF(AND(A47&gt;=Parameters!$B$15,A47&lt;=Parameters!$C$15),($L$47*Parameters!$B$45+$M$47*Parameters!$B$46+$N$47*Parameters!$B$47)*0.5,"")</f>
        <v/>
      </c>
      <c r="Z47" s="99">
        <f>(1+Parameters!$B$52)^-A47</f>
        <v>0.98909272169915441</v>
      </c>
      <c r="AA47" s="94">
        <f t="shared" si="1"/>
        <v>-247.27318042478859</v>
      </c>
      <c r="AC47" s="99">
        <f t="shared" si="2"/>
        <v>0.90601586118583499</v>
      </c>
      <c r="AD47" s="94">
        <f t="shared" si="3"/>
        <v>-226.50396529645874</v>
      </c>
    </row>
    <row r="48" spans="1:30" x14ac:dyDescent="0.2">
      <c r="A48" s="71">
        <f>A47+1</f>
        <v>43</v>
      </c>
      <c r="B48" s="74" t="str">
        <f>IF(AND(A48&gt;=Parameters!$B$12,A48&lt;=Parameters!$C$12),"Yes","")</f>
        <v/>
      </c>
      <c r="C48" s="75" t="str">
        <f>IF(AND(A48&gt;=Parameters!$B$13,A48&lt;=Parameters!$C$13),"Yes","")</f>
        <v/>
      </c>
      <c r="D48" s="75" t="str">
        <f>IF(AND(A48&gt;=Parameters!$B$14,A48&lt;=Parameters!$C$14),"Yes","")</f>
        <v/>
      </c>
      <c r="E48" s="76" t="str">
        <f>IF(AND(A48&gt;=Parameters!$B$15,A48&lt;=Parameters!$C$15),"Yes","")</f>
        <v>Yes</v>
      </c>
      <c r="G48" s="83" t="str">
        <f>IF($B48="Yes",G47-Parameters!$D$20,"")</f>
        <v/>
      </c>
      <c r="H48" s="84" t="str">
        <f>IF($B48="Yes",H47-Parameters!$D$21,"")</f>
        <v/>
      </c>
      <c r="I48" s="84" t="str">
        <f>IF($B48="Yes",I47-Parameters!$D$22,"")</f>
        <v/>
      </c>
      <c r="J48" s="85" t="str">
        <f t="shared" si="6"/>
        <v/>
      </c>
      <c r="L48" s="83" t="str">
        <f>IF(A48=Parameters!$C$13,$G$51*Parameters!$D$24,IF(D48="Yes",L47*(1-Parameters!$E$27),""))</f>
        <v/>
      </c>
      <c r="M48" s="84" t="str">
        <f>IF(A48=Parameters!$C$13,$H$51*Parameters!$D$24,IF(D48="Yes",M47*(1-Parameters!$E$28),""))</f>
        <v/>
      </c>
      <c r="N48" s="84" t="str">
        <f>IF(A48=Parameters!$C$13,$I$51*Parameters!$D$24,IF(D48="Yes",N47*(1-Parameters!$E$29),""))</f>
        <v/>
      </c>
      <c r="O48" s="89" t="str">
        <f>IF(OR(A48&lt;Parameters!$C$13,A48&gt;Parameters!$C$14),"",SUM(L48:N48))</f>
        <v/>
      </c>
      <c r="Q48" s="74" t="str">
        <f>IF(A48=Parameters!$B$12-1,-Parameters!$B$36*J48,"")</f>
        <v/>
      </c>
      <c r="R48" s="75" t="str">
        <f>IF(AND(A48&gt;=Parameters!$B$12,A48&lt;=Parameters!$C$12),-Parameters!$D$36,"")</f>
        <v/>
      </c>
      <c r="S48" s="23"/>
      <c r="T48" s="75" t="str">
        <f>IF(AND(A48&gt;=Parameters!$B$13,A48&lt;=Parameters!$C$13),-Parameters!$C$39,"")</f>
        <v/>
      </c>
      <c r="U48" s="75" t="str">
        <f>IF(A48=Parameters!C$13,-Parameters!$C$37*O48,"")</f>
        <v/>
      </c>
      <c r="V48" s="75" t="str">
        <f>IF(AND(A48&gt;=Parameters!$B$14,A48&lt;=Parameters!$C$14),-Parameters!$D$37,"")</f>
        <v/>
      </c>
      <c r="W48" s="93" t="str">
        <f t="shared" si="0"/>
        <v/>
      </c>
      <c r="X48" s="94">
        <f>IF(AND(A48&gt;=Parameters!$B$15,A48&lt;=Parameters!$C$15),($L$47*Parameters!$B$45+$M$47*Parameters!$B$46+$N$47*Parameters!$B$47)*0.5,"")</f>
        <v>17149.179774458982</v>
      </c>
      <c r="Z48" s="99">
        <f>(1+Parameters!$B$52)^-A48</f>
        <v>0.9888344797866303</v>
      </c>
      <c r="AA48" s="94">
        <f t="shared" si="1"/>
        <v>16957.700261044549</v>
      </c>
      <c r="AC48" s="99">
        <f t="shared" si="2"/>
        <v>0.90388925669758269</v>
      </c>
      <c r="AD48" s="94">
        <f t="shared" si="3"/>
        <v>15500.959359308948</v>
      </c>
    </row>
    <row r="49" spans="1:30" x14ac:dyDescent="0.2">
      <c r="A49" s="72">
        <f>A48+1</f>
        <v>44</v>
      </c>
      <c r="B49" s="77" t="str">
        <f>IF(AND(A49&gt;=Parameters!$B$12,A49&lt;=Parameters!$C$12),"Yes","")</f>
        <v/>
      </c>
      <c r="C49" s="78" t="str">
        <f>IF(AND(A49&gt;=Parameters!$B$13,A49&lt;=Parameters!$C$13),"Yes","")</f>
        <v/>
      </c>
      <c r="D49" s="78" t="str">
        <f>IF(AND(A49&gt;=Parameters!$B$14,A49&lt;=Parameters!$C$14),"Yes","")</f>
        <v/>
      </c>
      <c r="E49" s="79" t="str">
        <f>IF(AND(A49&gt;=Parameters!$B$15,A49&lt;=Parameters!$C$15),"Yes","")</f>
        <v>Yes</v>
      </c>
      <c r="G49" s="86" t="str">
        <f>IF($B49="Yes",G48-Parameters!$D$20,"")</f>
        <v/>
      </c>
      <c r="H49" s="87" t="str">
        <f>IF($B49="Yes",H48-Parameters!$D$21,"")</f>
        <v/>
      </c>
      <c r="I49" s="87" t="str">
        <f>IF($B49="Yes",I48-Parameters!$D$22,"")</f>
        <v/>
      </c>
      <c r="J49" s="88" t="str">
        <f t="shared" si="6"/>
        <v/>
      </c>
      <c r="L49" s="86" t="str">
        <f>IF(A49=Parameters!$C$13,$G$51*Parameters!$D$24,IF(D49="Yes",L48*(1-Parameters!$E$27),""))</f>
        <v/>
      </c>
      <c r="M49" s="87" t="str">
        <f>IF(A49=Parameters!$C$13,$H$51*Parameters!$D$24,IF(D49="Yes",M48*(1-Parameters!$E$28),""))</f>
        <v/>
      </c>
      <c r="N49" s="87" t="str">
        <f>IF(A49=Parameters!$C$13,$I$51*Parameters!$D$24,IF(D49="Yes",N48*(1-Parameters!$E$29),""))</f>
        <v/>
      </c>
      <c r="O49" s="90" t="str">
        <f>IF(OR(A49&lt;Parameters!$C$13,A49&gt;Parameters!$C$14),"",SUM(L49:N49))</f>
        <v/>
      </c>
      <c r="Q49" s="77" t="str">
        <f>IF(A49=Parameters!$B$12-1,-Parameters!$B$36*J49,"")</f>
        <v/>
      </c>
      <c r="R49" s="78" t="str">
        <f>IF(AND(A49&gt;=Parameters!$B$12,A49&lt;=Parameters!$C$12),-Parameters!$D$36,"")</f>
        <v/>
      </c>
      <c r="S49" s="30"/>
      <c r="T49" s="78" t="str">
        <f>IF(AND(A49&gt;=Parameters!$B$13,A49&lt;=Parameters!$C$13),-Parameters!$C$39,"")</f>
        <v/>
      </c>
      <c r="U49" s="78" t="str">
        <f>IF(A49=Parameters!C$13,-Parameters!$C$37*O49,"")</f>
        <v/>
      </c>
      <c r="V49" s="78" t="str">
        <f>IF(AND(A49&gt;=Parameters!$B$14,A49&lt;=Parameters!$C$14),-Parameters!$D$37,"")</f>
        <v/>
      </c>
      <c r="W49" s="95" t="str">
        <f t="shared" si="0"/>
        <v/>
      </c>
      <c r="X49" s="96">
        <f>IF(AND(A49&gt;=Parameters!$B$15,A49&lt;=Parameters!$C$15),($L$47*Parameters!$B$45+$M$47*Parameters!$B$46+$N$47*Parameters!$B$47)*0.5,"")</f>
        <v>17149.179774458982</v>
      </c>
      <c r="Z49" s="100">
        <f>(1+Parameters!$B$52)^-A49</f>
        <v>0.98857630529840779</v>
      </c>
      <c r="AA49" s="96">
        <f t="shared" si="1"/>
        <v>16953.272780332842</v>
      </c>
      <c r="AC49" s="100">
        <f t="shared" si="2"/>
        <v>0.90176764378491214</v>
      </c>
      <c r="AD49" s="96">
        <f t="shared" si="3"/>
        <v>15464.575438057747</v>
      </c>
    </row>
    <row r="51" spans="1:30" x14ac:dyDescent="0.2">
      <c r="E51" s="101" t="s">
        <v>100</v>
      </c>
      <c r="G51" s="102">
        <f>MIN(G5:G48)</f>
        <v>55</v>
      </c>
      <c r="H51" s="103">
        <f>MIN(H5:H48)</f>
        <v>77.5</v>
      </c>
      <c r="I51" s="103">
        <f>MIN(I5:I48)</f>
        <v>77.5</v>
      </c>
      <c r="J51" s="104">
        <f>SUM(G51:I51)</f>
        <v>210</v>
      </c>
      <c r="L51" s="66"/>
      <c r="M51" s="66"/>
      <c r="N51" s="66">
        <f>N47*Parameters!B47</f>
        <v>7760.9426716529679</v>
      </c>
      <c r="O51" s="66"/>
      <c r="Z51" s="101" t="s">
        <v>99</v>
      </c>
      <c r="AA51" s="54">
        <f>SUM(AA5:AA49)</f>
        <v>2499.9999999999927</v>
      </c>
      <c r="AC51" s="101" t="s">
        <v>99</v>
      </c>
      <c r="AD51" s="54">
        <f>SUM(AD5:AD49)</f>
        <v>2.3033862817101181E-8</v>
      </c>
    </row>
    <row r="54" spans="1:30" x14ac:dyDescent="0.2">
      <c r="A54" s="15" t="s">
        <v>68</v>
      </c>
      <c r="B54" s="22"/>
      <c r="C54" s="22"/>
      <c r="D54" s="22"/>
      <c r="E54" s="22"/>
      <c r="F54" s="22"/>
      <c r="G54" s="22"/>
      <c r="H54" s="22"/>
      <c r="I54" s="22"/>
      <c r="J54" s="16"/>
    </row>
    <row r="55" spans="1:30" x14ac:dyDescent="0.2">
      <c r="A55" s="17"/>
      <c r="B55" s="23"/>
      <c r="C55" s="23"/>
      <c r="D55" s="23"/>
      <c r="E55" s="23"/>
      <c r="F55" s="23"/>
      <c r="G55" s="23"/>
      <c r="H55" s="23"/>
      <c r="I55" s="23"/>
      <c r="J55" s="18"/>
    </row>
    <row r="56" spans="1:30" x14ac:dyDescent="0.2">
      <c r="A56" s="17" t="s">
        <v>69</v>
      </c>
      <c r="B56" s="23"/>
      <c r="C56" s="23"/>
      <c r="D56" s="105">
        <f>$W$1</f>
        <v>85.434384937845081</v>
      </c>
      <c r="E56" s="23"/>
      <c r="F56" s="23"/>
      <c r="G56" s="23"/>
      <c r="H56" s="23"/>
      <c r="I56" s="23"/>
      <c r="J56" s="18"/>
    </row>
    <row r="57" spans="1:30" x14ac:dyDescent="0.2">
      <c r="A57" s="17" t="s">
        <v>70</v>
      </c>
      <c r="B57" s="23"/>
      <c r="C57" s="23"/>
      <c r="D57" s="105">
        <f>$W$1</f>
        <v>85.434384937845081</v>
      </c>
      <c r="E57" s="23"/>
      <c r="F57" s="23"/>
      <c r="G57" s="23"/>
      <c r="H57" s="23"/>
      <c r="I57" s="23"/>
      <c r="J57" s="18"/>
    </row>
    <row r="58" spans="1:30" x14ac:dyDescent="0.2">
      <c r="A58" s="17" t="s">
        <v>71</v>
      </c>
      <c r="B58" s="23"/>
      <c r="C58" s="23"/>
      <c r="D58" s="105">
        <f>$W$1/2</f>
        <v>42.717192468922541</v>
      </c>
      <c r="E58" s="23"/>
      <c r="F58" s="23"/>
      <c r="G58" s="23"/>
      <c r="H58" s="23"/>
      <c r="I58" s="23"/>
      <c r="J58" s="18"/>
    </row>
    <row r="59" spans="1:30" x14ac:dyDescent="0.2">
      <c r="A59" s="17"/>
      <c r="B59" s="23"/>
      <c r="C59" s="23"/>
      <c r="D59" s="23"/>
      <c r="E59" s="23"/>
      <c r="F59" s="23"/>
      <c r="G59" s="23"/>
      <c r="H59" s="23"/>
      <c r="I59" s="23"/>
      <c r="J59" s="18"/>
    </row>
    <row r="60" spans="1:30" x14ac:dyDescent="0.2">
      <c r="A60" s="17" t="s">
        <v>72</v>
      </c>
      <c r="B60" s="23"/>
      <c r="C60" s="23"/>
      <c r="D60" s="106">
        <f>AA51</f>
        <v>2499.9999999999927</v>
      </c>
      <c r="E60" s="23"/>
      <c r="F60" s="23"/>
      <c r="G60" s="23"/>
      <c r="H60" s="23"/>
      <c r="I60" s="23"/>
      <c r="J60" s="18"/>
    </row>
    <row r="61" spans="1:30" x14ac:dyDescent="0.2">
      <c r="A61" s="17" t="s">
        <v>12</v>
      </c>
      <c r="B61" s="23"/>
      <c r="C61" s="23"/>
      <c r="D61" s="106">
        <f>Parameters!B53</f>
        <v>2500</v>
      </c>
      <c r="E61" s="23"/>
      <c r="F61" s="23"/>
      <c r="G61" s="23"/>
      <c r="H61" s="23"/>
      <c r="I61" s="23"/>
      <c r="J61" s="18"/>
    </row>
    <row r="62" spans="1:30" x14ac:dyDescent="0.2">
      <c r="A62" s="17" t="s">
        <v>11</v>
      </c>
      <c r="B62" s="23"/>
      <c r="C62" s="23"/>
      <c r="D62" s="106">
        <f>D60-D61</f>
        <v>-7.2759576141834259E-12</v>
      </c>
      <c r="E62" s="23" t="str">
        <f>IF(ROUND(D62,4)&lt;&gt;0,"Re-run goalseek","Goalseek okay")</f>
        <v>Goalseek okay</v>
      </c>
      <c r="F62" s="23"/>
      <c r="G62" s="23" t="s">
        <v>78</v>
      </c>
      <c r="H62" s="23"/>
      <c r="I62" s="23"/>
      <c r="J62" s="18"/>
    </row>
    <row r="63" spans="1:30" x14ac:dyDescent="0.2">
      <c r="A63" s="17"/>
      <c r="B63" s="23"/>
      <c r="C63" s="23"/>
      <c r="D63" s="23"/>
      <c r="E63" s="23"/>
      <c r="F63" s="23"/>
      <c r="G63" s="23"/>
      <c r="H63" s="23"/>
      <c r="I63" s="23"/>
      <c r="J63" s="18"/>
    </row>
    <row r="64" spans="1:30" x14ac:dyDescent="0.2">
      <c r="A64" s="17" t="s">
        <v>73</v>
      </c>
      <c r="B64" s="23"/>
      <c r="C64" s="23"/>
      <c r="D64" s="23"/>
      <c r="E64" s="23"/>
      <c r="F64" s="23"/>
      <c r="G64" s="23"/>
      <c r="H64" s="23"/>
      <c r="I64" s="23"/>
      <c r="J64" s="18"/>
    </row>
    <row r="65" spans="1:10" x14ac:dyDescent="0.2">
      <c r="A65" s="17" t="s">
        <v>72</v>
      </c>
      <c r="B65" s="23"/>
      <c r="C65" s="23"/>
      <c r="D65" s="106">
        <f>AD51</f>
        <v>2.3033862817101181E-8</v>
      </c>
      <c r="E65" s="23"/>
      <c r="F65" s="23"/>
      <c r="G65" s="23"/>
      <c r="H65" s="23"/>
      <c r="I65" s="23"/>
      <c r="J65" s="18"/>
    </row>
    <row r="66" spans="1:10" x14ac:dyDescent="0.2">
      <c r="A66" s="17" t="s">
        <v>12</v>
      </c>
      <c r="B66" s="23"/>
      <c r="C66" s="23"/>
      <c r="D66" s="23">
        <v>0</v>
      </c>
      <c r="E66" s="23"/>
      <c r="F66" s="23"/>
      <c r="G66" s="23"/>
      <c r="H66" s="23"/>
      <c r="I66" s="23"/>
      <c r="J66" s="18"/>
    </row>
    <row r="67" spans="1:10" x14ac:dyDescent="0.2">
      <c r="A67" s="17" t="s">
        <v>11</v>
      </c>
      <c r="B67" s="23"/>
      <c r="C67" s="23"/>
      <c r="D67" s="106">
        <f>D65-D66</f>
        <v>2.3033862817101181E-8</v>
      </c>
      <c r="E67" s="23" t="str">
        <f>IF(ROUND(D67,3)&lt;&gt;0,"Re-run goalseek","Goalseek okay")</f>
        <v>Goalseek okay</v>
      </c>
      <c r="F67" s="23"/>
      <c r="G67" s="23" t="s">
        <v>79</v>
      </c>
      <c r="H67" s="23"/>
      <c r="I67" s="23"/>
      <c r="J67" s="18"/>
    </row>
    <row r="68" spans="1:10" x14ac:dyDescent="0.2">
      <c r="A68" s="17" t="s">
        <v>74</v>
      </c>
      <c r="B68" s="23"/>
      <c r="C68" s="23"/>
      <c r="D68" s="107">
        <v>2.3527268108286294E-3</v>
      </c>
      <c r="E68" s="23" t="s">
        <v>13</v>
      </c>
      <c r="F68" s="23"/>
      <c r="G68" s="23"/>
      <c r="H68" s="23"/>
      <c r="I68" s="23"/>
      <c r="J68" s="18"/>
    </row>
    <row r="69" spans="1:10" x14ac:dyDescent="0.2">
      <c r="A69" s="50" t="s">
        <v>75</v>
      </c>
      <c r="B69" s="30"/>
      <c r="C69" s="30"/>
      <c r="D69" s="108">
        <f>(1+D68)^365-1</f>
        <v>1.3578181321048457</v>
      </c>
      <c r="E69" s="30" t="s">
        <v>14</v>
      </c>
      <c r="F69" s="30"/>
      <c r="G69" s="30"/>
      <c r="H69" s="30"/>
      <c r="I69" s="30"/>
      <c r="J69" s="34"/>
    </row>
  </sheetData>
  <mergeCells count="6">
    <mergeCell ref="U3:V3"/>
    <mergeCell ref="B3:D3"/>
    <mergeCell ref="G3:J3"/>
    <mergeCell ref="L3:O3"/>
    <mergeCell ref="Q3:R3"/>
    <mergeCell ref="S3:T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9"/>
  <sheetViews>
    <sheetView workbookViewId="0"/>
  </sheetViews>
  <sheetFormatPr defaultRowHeight="12.75" x14ac:dyDescent="0.2"/>
  <cols>
    <col min="1" max="1" width="13.5703125" style="14" customWidth="1"/>
    <col min="2" max="2" width="11.5703125" style="14" customWidth="1"/>
    <col min="3" max="3" width="10.5703125" style="14" customWidth="1"/>
    <col min="4" max="5" width="13.28515625" style="14" customWidth="1"/>
    <col min="6" max="6" width="3.5703125" style="14" customWidth="1"/>
    <col min="7" max="10" width="9.140625" style="14"/>
    <col min="11" max="11" width="4.28515625" style="14" customWidth="1"/>
    <col min="12" max="15" width="9.140625" style="14"/>
    <col min="16" max="16" width="3.42578125" style="14" customWidth="1"/>
    <col min="17" max="24" width="9.140625" style="14"/>
    <col min="25" max="25" width="4" style="14" customWidth="1"/>
    <col min="26" max="16384" width="9.140625" style="14"/>
  </cols>
  <sheetData>
    <row r="1" spans="1:30" ht="18" x14ac:dyDescent="0.25">
      <c r="A1" s="52" t="s">
        <v>48</v>
      </c>
      <c r="Q1" s="116" t="s">
        <v>36</v>
      </c>
      <c r="R1" s="117"/>
      <c r="S1" s="117"/>
      <c r="T1" s="117"/>
      <c r="U1" s="117"/>
      <c r="V1" s="117"/>
      <c r="W1" s="118">
        <f>'Scenario 1'!W1</f>
        <v>85.434384937845081</v>
      </c>
      <c r="AA1" s="53"/>
    </row>
    <row r="2" spans="1:30" ht="15.75" x14ac:dyDescent="0.25">
      <c r="Q2" s="13" t="s">
        <v>56</v>
      </c>
      <c r="Z2" s="97" t="s">
        <v>61</v>
      </c>
      <c r="AA2" s="16"/>
      <c r="AC2" s="97" t="s">
        <v>61</v>
      </c>
      <c r="AD2" s="16"/>
    </row>
    <row r="3" spans="1:30" x14ac:dyDescent="0.2">
      <c r="B3" s="120" t="s">
        <v>50</v>
      </c>
      <c r="C3" s="119"/>
      <c r="D3" s="119"/>
      <c r="E3" s="73"/>
      <c r="G3" s="120" t="s">
        <v>54</v>
      </c>
      <c r="H3" s="119"/>
      <c r="I3" s="119"/>
      <c r="J3" s="121"/>
      <c r="L3" s="120" t="s">
        <v>55</v>
      </c>
      <c r="M3" s="119"/>
      <c r="N3" s="119"/>
      <c r="O3" s="121"/>
      <c r="Q3" s="120" t="s">
        <v>51</v>
      </c>
      <c r="R3" s="119"/>
      <c r="S3" s="119" t="s">
        <v>52</v>
      </c>
      <c r="T3" s="119"/>
      <c r="U3" s="119" t="s">
        <v>53</v>
      </c>
      <c r="V3" s="119"/>
      <c r="W3" s="91" t="s">
        <v>64</v>
      </c>
      <c r="X3" s="73" t="s">
        <v>65</v>
      </c>
      <c r="Z3" s="74" t="s">
        <v>76</v>
      </c>
      <c r="AA3" s="76" t="s">
        <v>62</v>
      </c>
      <c r="AC3" s="74" t="s">
        <v>76</v>
      </c>
      <c r="AD3" s="76" t="s">
        <v>62</v>
      </c>
    </row>
    <row r="4" spans="1:30" x14ac:dyDescent="0.2">
      <c r="A4" s="109" t="s">
        <v>49</v>
      </c>
      <c r="B4" s="74" t="s">
        <v>51</v>
      </c>
      <c r="C4" s="75" t="s">
        <v>52</v>
      </c>
      <c r="D4" s="75" t="s">
        <v>53</v>
      </c>
      <c r="E4" s="76" t="s">
        <v>58</v>
      </c>
      <c r="G4" s="74" t="s">
        <v>16</v>
      </c>
      <c r="H4" s="75" t="s">
        <v>17</v>
      </c>
      <c r="I4" s="75" t="s">
        <v>18</v>
      </c>
      <c r="J4" s="76" t="s">
        <v>0</v>
      </c>
      <c r="L4" s="74" t="s">
        <v>16</v>
      </c>
      <c r="M4" s="75" t="s">
        <v>17</v>
      </c>
      <c r="N4" s="75" t="s">
        <v>18</v>
      </c>
      <c r="O4" s="76" t="s">
        <v>0</v>
      </c>
      <c r="Q4" s="74" t="s">
        <v>59</v>
      </c>
      <c r="R4" s="75" t="s">
        <v>60</v>
      </c>
      <c r="S4" s="92" t="s">
        <v>59</v>
      </c>
      <c r="T4" s="75" t="s">
        <v>60</v>
      </c>
      <c r="U4" s="75" t="s">
        <v>59</v>
      </c>
      <c r="V4" s="75" t="s">
        <v>60</v>
      </c>
      <c r="W4" s="23" t="s">
        <v>57</v>
      </c>
      <c r="X4" s="18" t="s">
        <v>58</v>
      </c>
      <c r="Z4" s="98">
        <f>Parameters!B51</f>
        <v>0.1</v>
      </c>
      <c r="AA4" s="76" t="s">
        <v>63</v>
      </c>
      <c r="AC4" s="98" t="s">
        <v>77</v>
      </c>
      <c r="AD4" s="76" t="s">
        <v>63</v>
      </c>
    </row>
    <row r="5" spans="1:30" x14ac:dyDescent="0.2">
      <c r="A5" s="74">
        <v>0</v>
      </c>
      <c r="B5" s="74" t="str">
        <f>IF(AND(A5&gt;=Parameters!$B$12,A5&lt;=Parameters!$C$12),"Yes","")</f>
        <v/>
      </c>
      <c r="C5" s="75" t="str">
        <f>IF(AND(A5&gt;=Parameters!$B$13,A5&lt;=Parameters!$C$13),"Yes","")</f>
        <v/>
      </c>
      <c r="D5" s="75" t="str">
        <f>IF(AND(A5&gt;=Parameters!$B$14,A5&lt;=Parameters!$C$14),"Yes","")</f>
        <v/>
      </c>
      <c r="E5" s="76" t="str">
        <f>IF(AND(A5&gt;=Parameters!$B$15,A5&lt;=Parameters!$C$15),"Yes","")</f>
        <v/>
      </c>
      <c r="G5" s="80">
        <f>Parameters!B6</f>
        <v>100</v>
      </c>
      <c r="H5" s="81">
        <f>Parameters!B7</f>
        <v>100</v>
      </c>
      <c r="I5" s="81">
        <f>Parameters!B8</f>
        <v>100</v>
      </c>
      <c r="J5" s="82">
        <f>SUM(G5:I5)</f>
        <v>300</v>
      </c>
      <c r="L5" s="110" t="str">
        <f>IF(A5=Parameters!$C$13,$G$51*Parameters!$D$24,IF(D5="Yes",L4*(1-Parameters!$G$27),""))</f>
        <v/>
      </c>
      <c r="M5" s="111" t="str">
        <f>IF(A5=Parameters!$C$13,$H$51*Parameters!$D$24,IF(D5="Yes",M4*(1-Parameters!$G$28),""))</f>
        <v/>
      </c>
      <c r="N5" s="111" t="str">
        <f>IF(A5=Parameters!$C$13,$I$51*Parameters!$D$24,IF(D5="Yes",N4*(1-Parameters!$G$29),""))</f>
        <v/>
      </c>
      <c r="O5" s="89" t="str">
        <f>IF(OR(A5&lt;Parameters!$C$13,A5&gt;Parameters!$C$14),"",SUM(L5:N5))</f>
        <v/>
      </c>
      <c r="Q5" s="74">
        <f>IF(A5=Parameters!$B$12-1,-Parameters!B36*'Scenario 2'!J5,"")</f>
        <v>-900</v>
      </c>
      <c r="R5" s="75" t="str">
        <f>IF(AND(A5&gt;=Parameters!$B$12,A5&lt;=Parameters!$C$12),-Parameters!$D$36,"")</f>
        <v/>
      </c>
      <c r="S5" s="23"/>
      <c r="T5" s="75" t="str">
        <f>IF(AND(A5&gt;=Parameters!$B$13,A5&lt;=Parameters!$C$13),-Parameters!$C$39,"")</f>
        <v/>
      </c>
      <c r="U5" s="75" t="str">
        <f>IF(A5=Parameters!C$13,-Parameters!$C$37*O5,"")</f>
        <v/>
      </c>
      <c r="V5" s="75" t="str">
        <f>IF(AND(A5&gt;=Parameters!$B$14,A5&lt;=Parameters!$C$14),-Parameters!$D$37,"")</f>
        <v/>
      </c>
      <c r="W5" s="93">
        <f>IF(A5=0,-G5*$W$1-H5*$W$1-I5*$W$1/2,"")</f>
        <v>-21358.596234461271</v>
      </c>
      <c r="X5" s="114" t="str">
        <f>IF(AND(A5&gt;=Parameters!$B$15,A5&lt;=Parameters!$C$15),($L$47*Parameters!$D$45+$M$47*Parameters!$D$46+$N$47*Parameters!$D$47)*0.5,"")</f>
        <v/>
      </c>
      <c r="Z5" s="99">
        <f>(1+Parameters!$B$52)^-A5</f>
        <v>1</v>
      </c>
      <c r="AA5" s="94">
        <f>SUM(Q5:X5)*Z5</f>
        <v>-22258.596234461271</v>
      </c>
      <c r="AC5" s="99">
        <f>(1+$D$68)^-A5</f>
        <v>1</v>
      </c>
      <c r="AD5" s="94">
        <f>SUM(Q5:X5)*AC5</f>
        <v>-22258.596234461271</v>
      </c>
    </row>
    <row r="6" spans="1:30" x14ac:dyDescent="0.2">
      <c r="A6" s="74">
        <f>A5+1</f>
        <v>1</v>
      </c>
      <c r="B6" s="74" t="str">
        <f>IF(AND(A6&gt;=Parameters!$B$12,A6&lt;=Parameters!$C$12),"Yes","")</f>
        <v>Yes</v>
      </c>
      <c r="C6" s="75" t="str">
        <f>IF(AND(A6&gt;=Parameters!$B$13,A6&lt;=Parameters!$C$13),"Yes","")</f>
        <v/>
      </c>
      <c r="D6" s="75" t="str">
        <f>IF(AND(A6&gt;=Parameters!$B$14,A6&lt;=Parameters!$C$14),"Yes","")</f>
        <v/>
      </c>
      <c r="E6" s="76" t="str">
        <f>IF(AND(A6&gt;=Parameters!$B$15,A6&lt;=Parameters!$C$15),"Yes","")</f>
        <v/>
      </c>
      <c r="G6" s="83">
        <f>IF($B6="Yes",G5-Parameters!$D$20,"")</f>
        <v>97</v>
      </c>
      <c r="H6" s="84">
        <f>IF($B6="Yes",H5-Parameters!$D$21,"")</f>
        <v>98.5</v>
      </c>
      <c r="I6" s="84">
        <f>IF($B6="Yes",I5-Parameters!$D$22,"")</f>
        <v>98.5</v>
      </c>
      <c r="J6" s="85">
        <f>IF(B6="Yes",SUM(G6:I6),"")</f>
        <v>294</v>
      </c>
      <c r="L6" s="110" t="str">
        <f>IF(A6=Parameters!$C$13,$G$51*Parameters!$D$24,IF(D6="Yes",L5*(1-Parameters!$G$27),""))</f>
        <v/>
      </c>
      <c r="M6" s="111" t="str">
        <f>IF(A6=Parameters!$C$13,$H$51*Parameters!$D$24,IF(D6="Yes",M5*(1-Parameters!$G$28),""))</f>
        <v/>
      </c>
      <c r="N6" s="111" t="str">
        <f>IF(A6=Parameters!$C$13,$I$51*Parameters!$D$24,IF(D6="Yes",N5*(1-Parameters!$G$29),""))</f>
        <v/>
      </c>
      <c r="O6" s="89" t="str">
        <f>IF(OR(A6&lt;Parameters!$C$13,A6&gt;Parameters!$C$14),"",SUM(L6:N6))</f>
        <v/>
      </c>
      <c r="Q6" s="74" t="str">
        <f>IF(A6=Parameters!$B$12-1,-Parameters!B37*'Scenario 2'!J6,"")</f>
        <v/>
      </c>
      <c r="R6" s="75">
        <f>IF(AND(A6&gt;=Parameters!$B$12,A6&lt;=Parameters!$C$12),-Parameters!$D$36,"")</f>
        <v>-150</v>
      </c>
      <c r="S6" s="23"/>
      <c r="T6" s="75" t="str">
        <f>IF(AND(A6&gt;=Parameters!$B$13,A6&lt;=Parameters!$C$13),-Parameters!$C$39,"")</f>
        <v/>
      </c>
      <c r="U6" s="75" t="str">
        <f>IF(A6=Parameters!C$13,-Parameters!$C$37*O6,"")</f>
        <v/>
      </c>
      <c r="V6" s="75" t="str">
        <f>IF(AND(A6&gt;=Parameters!$B$14,A6&lt;=Parameters!$C$14),-Parameters!$D$37,"")</f>
        <v/>
      </c>
      <c r="W6" s="93" t="str">
        <f t="shared" ref="W6:W49" si="0">IF(A6=0,-G6*$W$1-H6*$W$1-I6*$W$1/2,"")</f>
        <v/>
      </c>
      <c r="X6" s="114" t="str">
        <f>IF(AND(A6&gt;=Parameters!$B$15,A6&lt;=Parameters!$C$15),($L$47*Parameters!$D$45+$M$47*Parameters!$D$46+$N$47*Parameters!$D$47)*0.5,"")</f>
        <v/>
      </c>
      <c r="Z6" s="99">
        <f>(1+Parameters!$B$52)^-A6</f>
        <v>0.99973891030956119</v>
      </c>
      <c r="AA6" s="94">
        <f t="shared" ref="AA6:AA49" si="1">SUM(Q6:X6)*Z6</f>
        <v>-149.96083654643417</v>
      </c>
      <c r="AC6" s="99">
        <f t="shared" ref="AC6:AC49" si="2">(1+$D$68)^-A6</f>
        <v>0.99338347267142901</v>
      </c>
      <c r="AD6" s="94">
        <f t="shared" ref="AD6:AD49" si="3">SUM(Q6:X6)*AC6</f>
        <v>-149.00752090071435</v>
      </c>
    </row>
    <row r="7" spans="1:30" x14ac:dyDescent="0.2">
      <c r="A7" s="74">
        <f t="shared" ref="A7:A46" si="4">A6+1</f>
        <v>2</v>
      </c>
      <c r="B7" s="74" t="str">
        <f>IF(AND(A7&gt;=Parameters!$B$12,A7&lt;=Parameters!$C$12),"Yes","")</f>
        <v>Yes</v>
      </c>
      <c r="C7" s="75" t="str">
        <f>IF(AND(A7&gt;=Parameters!$B$13,A7&lt;=Parameters!$C$13),"Yes","")</f>
        <v/>
      </c>
      <c r="D7" s="75" t="str">
        <f>IF(AND(A7&gt;=Parameters!$B$14,A7&lt;=Parameters!$C$14),"Yes","")</f>
        <v/>
      </c>
      <c r="E7" s="76" t="str">
        <f>IF(AND(A7&gt;=Parameters!$B$15,A7&lt;=Parameters!$C$15),"Yes","")</f>
        <v/>
      </c>
      <c r="G7" s="83">
        <f>IF($B7="Yes",G6-Parameters!$D$20,"")</f>
        <v>94</v>
      </c>
      <c r="H7" s="84">
        <f>IF($B7="Yes",H6-Parameters!$D$21,"")</f>
        <v>97</v>
      </c>
      <c r="I7" s="84">
        <f>IF($B7="Yes",I6-Parameters!$D$22,"")</f>
        <v>97</v>
      </c>
      <c r="J7" s="85">
        <f t="shared" ref="J7:J49" si="5">IF(B7="Yes",SUM(G7:I7),"")</f>
        <v>288</v>
      </c>
      <c r="L7" s="110" t="str">
        <f>IF(A7=Parameters!$C$13,$G$51*Parameters!$D$24,IF(D7="Yes",L6*(1-Parameters!$G$27),""))</f>
        <v/>
      </c>
      <c r="M7" s="111" t="str">
        <f>IF(A7=Parameters!$C$13,$H$51*Parameters!$D$24,IF(D7="Yes",M6*(1-Parameters!$G$28),""))</f>
        <v/>
      </c>
      <c r="N7" s="111" t="str">
        <f>IF(A7=Parameters!$C$13,$I$51*Parameters!$D$24,IF(D7="Yes",N6*(1-Parameters!$G$29),""))</f>
        <v/>
      </c>
      <c r="O7" s="89" t="str">
        <f>IF(OR(A7&lt;Parameters!$C$13,A7&gt;Parameters!$C$14),"",SUM(L7:N7))</f>
        <v/>
      </c>
      <c r="Q7" s="74" t="str">
        <f>IF(A7=Parameters!$B$12-1,-Parameters!B38*'Scenario 2'!J7,"")</f>
        <v/>
      </c>
      <c r="R7" s="75">
        <f>IF(AND(A7&gt;=Parameters!$B$12,A7&lt;=Parameters!$C$12),-Parameters!$D$36,"")</f>
        <v>-150</v>
      </c>
      <c r="S7" s="23"/>
      <c r="T7" s="75" t="str">
        <f>IF(AND(A7&gt;=Parameters!$B$13,A7&lt;=Parameters!$C$13),-Parameters!$C$39,"")</f>
        <v/>
      </c>
      <c r="U7" s="75" t="str">
        <f>IF(A7=Parameters!C$13,-Parameters!$C$37*O7,"")</f>
        <v/>
      </c>
      <c r="V7" s="75" t="str">
        <f>IF(AND(A7&gt;=Parameters!$B$14,A7&lt;=Parameters!$C$14),-Parameters!$D$37,"")</f>
        <v/>
      </c>
      <c r="W7" s="93" t="str">
        <f t="shared" si="0"/>
        <v/>
      </c>
      <c r="X7" s="114" t="str">
        <f>IF(AND(A7&gt;=Parameters!$B$15,A7&lt;=Parameters!$C$15),($L$47*Parameters!$D$45+$M$47*Parameters!$D$46+$N$47*Parameters!$D$47)*0.5,"")</f>
        <v/>
      </c>
      <c r="Z7" s="99">
        <f>(1+Parameters!$B$52)^-A7</f>
        <v>0.99947788878694876</v>
      </c>
      <c r="AA7" s="94">
        <f t="shared" si="1"/>
        <v>-149.92168331804231</v>
      </c>
      <c r="AC7" s="99">
        <f t="shared" si="2"/>
        <v>0.98681072377674761</v>
      </c>
      <c r="AD7" s="94">
        <f t="shared" si="3"/>
        <v>-148.02160856651213</v>
      </c>
    </row>
    <row r="8" spans="1:30" x14ac:dyDescent="0.2">
      <c r="A8" s="74">
        <f t="shared" si="4"/>
        <v>3</v>
      </c>
      <c r="B8" s="74" t="str">
        <f>IF(AND(A8&gt;=Parameters!$B$12,A8&lt;=Parameters!$C$12),"Yes","")</f>
        <v>Yes</v>
      </c>
      <c r="C8" s="75" t="str">
        <f>IF(AND(A8&gt;=Parameters!$B$13,A8&lt;=Parameters!$C$13),"Yes","")</f>
        <v/>
      </c>
      <c r="D8" s="75" t="str">
        <f>IF(AND(A8&gt;=Parameters!$B$14,A8&lt;=Parameters!$C$14),"Yes","")</f>
        <v/>
      </c>
      <c r="E8" s="76" t="str">
        <f>IF(AND(A8&gt;=Parameters!$B$15,A8&lt;=Parameters!$C$15),"Yes","")</f>
        <v/>
      </c>
      <c r="G8" s="83">
        <f>IF($B8="Yes",G7-Parameters!$D$20,"")</f>
        <v>91</v>
      </c>
      <c r="H8" s="84">
        <f>IF($B8="Yes",H7-Parameters!$D$21,"")</f>
        <v>95.5</v>
      </c>
      <c r="I8" s="84">
        <f>IF($B8="Yes",I7-Parameters!$D$22,"")</f>
        <v>95.5</v>
      </c>
      <c r="J8" s="85">
        <f t="shared" si="5"/>
        <v>282</v>
      </c>
      <c r="L8" s="110" t="str">
        <f>IF(A8=Parameters!$C$13,$G$51*Parameters!$D$24,IF(D8="Yes",L7*(1-Parameters!$G$27),""))</f>
        <v/>
      </c>
      <c r="M8" s="111" t="str">
        <f>IF(A8=Parameters!$C$13,$H$51*Parameters!$D$24,IF(D8="Yes",M7*(1-Parameters!$G$28),""))</f>
        <v/>
      </c>
      <c r="N8" s="111" t="str">
        <f>IF(A8=Parameters!$C$13,$I$51*Parameters!$D$24,IF(D8="Yes",N7*(1-Parameters!$G$29),""))</f>
        <v/>
      </c>
      <c r="O8" s="89" t="str">
        <f>IF(OR(A8&lt;Parameters!$C$13,A8&gt;Parameters!$C$14),"",SUM(L8:N8))</f>
        <v/>
      </c>
      <c r="Q8" s="74" t="str">
        <f>IF(A8=Parameters!$B$12-1,-Parameters!B39*'Scenario 2'!J8,"")</f>
        <v/>
      </c>
      <c r="R8" s="75">
        <f>IF(AND(A8&gt;=Parameters!$B$12,A8&lt;=Parameters!$C$12),-Parameters!$D$36,"")</f>
        <v>-150</v>
      </c>
      <c r="S8" s="23"/>
      <c r="T8" s="75" t="str">
        <f>IF(AND(A8&gt;=Parameters!$B$13,A8&lt;=Parameters!$C$13),-Parameters!$C$39,"")</f>
        <v/>
      </c>
      <c r="U8" s="75" t="str">
        <f>IF(A8=Parameters!C$13,-Parameters!$C$37*O8,"")</f>
        <v/>
      </c>
      <c r="V8" s="75" t="str">
        <f>IF(AND(A8&gt;=Parameters!$B$14,A8&lt;=Parameters!$C$14),-Parameters!$D$37,"")</f>
        <v/>
      </c>
      <c r="W8" s="93" t="str">
        <f t="shared" si="0"/>
        <v/>
      </c>
      <c r="X8" s="114" t="str">
        <f>IF(AND(A8&gt;=Parameters!$B$15,A8&lt;=Parameters!$C$15),($L$47*Parameters!$D$45+$M$47*Parameters!$D$46+$N$47*Parameters!$D$47)*0.5,"")</f>
        <v/>
      </c>
      <c r="Z8" s="99">
        <f>(1+Parameters!$B$52)^-A8</f>
        <v>0.99921693541436485</v>
      </c>
      <c r="AA8" s="94">
        <f t="shared" si="1"/>
        <v>-149.88254031215473</v>
      </c>
      <c r="AC8" s="99">
        <f t="shared" si="2"/>
        <v>0.98028146365475188</v>
      </c>
      <c r="AD8" s="94">
        <f t="shared" si="3"/>
        <v>-147.04221954821278</v>
      </c>
    </row>
    <row r="9" spans="1:30" x14ac:dyDescent="0.2">
      <c r="A9" s="74">
        <f t="shared" si="4"/>
        <v>4</v>
      </c>
      <c r="B9" s="74" t="str">
        <f>IF(AND(A9&gt;=Parameters!$B$12,A9&lt;=Parameters!$C$12),"Yes","")</f>
        <v>Yes</v>
      </c>
      <c r="C9" s="75" t="str">
        <f>IF(AND(A9&gt;=Parameters!$B$13,A9&lt;=Parameters!$C$13),"Yes","")</f>
        <v/>
      </c>
      <c r="D9" s="75" t="str">
        <f>IF(AND(A9&gt;=Parameters!$B$14,A9&lt;=Parameters!$C$14),"Yes","")</f>
        <v/>
      </c>
      <c r="E9" s="76" t="str">
        <f>IF(AND(A9&gt;=Parameters!$B$15,A9&lt;=Parameters!$C$15),"Yes","")</f>
        <v/>
      </c>
      <c r="G9" s="83">
        <f>IF($B9="Yes",G8-Parameters!$D$20,"")</f>
        <v>88</v>
      </c>
      <c r="H9" s="84">
        <f>IF($B9="Yes",H8-Parameters!$D$21,"")</f>
        <v>94</v>
      </c>
      <c r="I9" s="84">
        <f>IF($B9="Yes",I8-Parameters!$D$22,"")</f>
        <v>94</v>
      </c>
      <c r="J9" s="85">
        <f t="shared" si="5"/>
        <v>276</v>
      </c>
      <c r="L9" s="110" t="str">
        <f>IF(A9=Parameters!$C$13,$G$51*Parameters!$D$24,IF(D9="Yes",L8*(1-Parameters!$G$27),""))</f>
        <v/>
      </c>
      <c r="M9" s="111" t="str">
        <f>IF(A9=Parameters!$C$13,$H$51*Parameters!$D$24,IF(D9="Yes",M8*(1-Parameters!$G$28),""))</f>
        <v/>
      </c>
      <c r="N9" s="111" t="str">
        <f>IF(A9=Parameters!$C$13,$I$51*Parameters!$D$24,IF(D9="Yes",N8*(1-Parameters!$G$29),""))</f>
        <v/>
      </c>
      <c r="O9" s="89" t="str">
        <f>IF(OR(A9&lt;Parameters!$C$13,A9&gt;Parameters!$C$14),"",SUM(L9:N9))</f>
        <v/>
      </c>
      <c r="Q9" s="74" t="str">
        <f>IF(A9=Parameters!$B$12-1,-Parameters!#REF!*'Scenario 2'!J9,"")</f>
        <v/>
      </c>
      <c r="R9" s="75">
        <f>IF(AND(A9&gt;=Parameters!$B$12,A9&lt;=Parameters!$C$12),-Parameters!$D$36,"")</f>
        <v>-150</v>
      </c>
      <c r="S9" s="23"/>
      <c r="T9" s="75" t="str">
        <f>IF(AND(A9&gt;=Parameters!$B$13,A9&lt;=Parameters!$C$13),-Parameters!$C$39,"")</f>
        <v/>
      </c>
      <c r="U9" s="75" t="str">
        <f>IF(A9=Parameters!C$13,-Parameters!$C$37*O9,"")</f>
        <v/>
      </c>
      <c r="V9" s="75" t="str">
        <f>IF(AND(A9&gt;=Parameters!$B$14,A9&lt;=Parameters!$C$14),-Parameters!$D$37,"")</f>
        <v/>
      </c>
      <c r="W9" s="93" t="str">
        <f t="shared" si="0"/>
        <v/>
      </c>
      <c r="X9" s="114" t="str">
        <f>IF(AND(A9&gt;=Parameters!$B$15,A9&lt;=Parameters!$C$15),($L$47*Parameters!$D$45+$M$47*Parameters!$D$46+$N$47*Parameters!$D$47)*0.5,"")</f>
        <v/>
      </c>
      <c r="Z9" s="99">
        <f>(1+Parameters!$B$52)^-A9</f>
        <v>0.99895605017401645</v>
      </c>
      <c r="AA9" s="94">
        <f t="shared" si="1"/>
        <v>-149.84340752610248</v>
      </c>
      <c r="AC9" s="99">
        <f t="shared" si="2"/>
        <v>0.9737954045607885</v>
      </c>
      <c r="AD9" s="94">
        <f t="shared" si="3"/>
        <v>-146.06931068411828</v>
      </c>
    </row>
    <row r="10" spans="1:30" x14ac:dyDescent="0.2">
      <c r="A10" s="74">
        <f t="shared" si="4"/>
        <v>5</v>
      </c>
      <c r="B10" s="74" t="str">
        <f>IF(AND(A10&gt;=Parameters!$B$12,A10&lt;=Parameters!$C$12),"Yes","")</f>
        <v>Yes</v>
      </c>
      <c r="C10" s="75" t="str">
        <f>IF(AND(A10&gt;=Parameters!$B$13,A10&lt;=Parameters!$C$13),"Yes","")</f>
        <v/>
      </c>
      <c r="D10" s="75" t="str">
        <f>IF(AND(A10&gt;=Parameters!$B$14,A10&lt;=Parameters!$C$14),"Yes","")</f>
        <v/>
      </c>
      <c r="E10" s="76" t="str">
        <f>IF(AND(A10&gt;=Parameters!$B$15,A10&lt;=Parameters!$C$15),"Yes","")</f>
        <v/>
      </c>
      <c r="G10" s="83">
        <f>IF($B10="Yes",G9-Parameters!$D$20,"")</f>
        <v>85</v>
      </c>
      <c r="H10" s="84">
        <f>IF($B10="Yes",H9-Parameters!$D$21,"")</f>
        <v>92.5</v>
      </c>
      <c r="I10" s="84">
        <f>IF($B10="Yes",I9-Parameters!$D$22,"")</f>
        <v>92.5</v>
      </c>
      <c r="J10" s="85">
        <f t="shared" si="5"/>
        <v>270</v>
      </c>
      <c r="L10" s="110" t="str">
        <f>IF(A10=Parameters!$C$13,$G$51*Parameters!$D$24,IF(D10="Yes",L9*(1-Parameters!$G$27),""))</f>
        <v/>
      </c>
      <c r="M10" s="111" t="str">
        <f>IF(A10=Parameters!$C$13,$H$51*Parameters!$D$24,IF(D10="Yes",M9*(1-Parameters!$G$28),""))</f>
        <v/>
      </c>
      <c r="N10" s="111" t="str">
        <f>IF(A10=Parameters!$C$13,$I$51*Parameters!$D$24,IF(D10="Yes",N9*(1-Parameters!$G$29),""))</f>
        <v/>
      </c>
      <c r="O10" s="89" t="str">
        <f>IF(OR(A10&lt;Parameters!$C$13,A10&gt;Parameters!$C$14),"",SUM(L10:N10))</f>
        <v/>
      </c>
      <c r="Q10" s="74" t="str">
        <f>IF(A10=Parameters!$B$12-1,-Parameters!B40*'Scenario 2'!J10,"")</f>
        <v/>
      </c>
      <c r="R10" s="75">
        <f>IF(AND(A10&gt;=Parameters!$B$12,A10&lt;=Parameters!$C$12),-Parameters!$D$36,"")</f>
        <v>-150</v>
      </c>
      <c r="S10" s="23"/>
      <c r="T10" s="75" t="str">
        <f>IF(AND(A10&gt;=Parameters!$B$13,A10&lt;=Parameters!$C$13),-Parameters!$C$39,"")</f>
        <v/>
      </c>
      <c r="U10" s="75" t="str">
        <f>IF(A10=Parameters!C$13,-Parameters!$C$37*O10,"")</f>
        <v/>
      </c>
      <c r="V10" s="75" t="str">
        <f>IF(AND(A10&gt;=Parameters!$B$14,A10&lt;=Parameters!$C$14),-Parameters!$D$37,"")</f>
        <v/>
      </c>
      <c r="W10" s="93" t="str">
        <f t="shared" si="0"/>
        <v/>
      </c>
      <c r="X10" s="114" t="str">
        <f>IF(AND(A10&gt;=Parameters!$B$15,A10&lt;=Parameters!$C$15),($L$47*Parameters!$D$45+$M$47*Parameters!$D$46+$N$47*Parameters!$D$47)*0.5,"")</f>
        <v/>
      </c>
      <c r="Z10" s="99">
        <f>(1+Parameters!$B$52)^-A10</f>
        <v>0.99869523304811447</v>
      </c>
      <c r="AA10" s="94">
        <f t="shared" si="1"/>
        <v>-149.80428495721716</v>
      </c>
      <c r="AC10" s="99">
        <f t="shared" si="2"/>
        <v>0.9673522606540752</v>
      </c>
      <c r="AD10" s="94">
        <f t="shared" si="3"/>
        <v>-145.10283909811128</v>
      </c>
    </row>
    <row r="11" spans="1:30" x14ac:dyDescent="0.2">
      <c r="A11" s="74">
        <f t="shared" si="4"/>
        <v>6</v>
      </c>
      <c r="B11" s="74" t="str">
        <f>IF(AND(A11&gt;=Parameters!$B$12,A11&lt;=Parameters!$C$12),"Yes","")</f>
        <v>Yes</v>
      </c>
      <c r="C11" s="75" t="str">
        <f>IF(AND(A11&gt;=Parameters!$B$13,A11&lt;=Parameters!$C$13),"Yes","")</f>
        <v/>
      </c>
      <c r="D11" s="75" t="str">
        <f>IF(AND(A11&gt;=Parameters!$B$14,A11&lt;=Parameters!$C$14),"Yes","")</f>
        <v/>
      </c>
      <c r="E11" s="76" t="str">
        <f>IF(AND(A11&gt;=Parameters!$B$15,A11&lt;=Parameters!$C$15),"Yes","")</f>
        <v/>
      </c>
      <c r="G11" s="83">
        <f>IF($B11="Yes",G10-Parameters!$D$20,"")</f>
        <v>82</v>
      </c>
      <c r="H11" s="84">
        <f>IF($B11="Yes",H10-Parameters!$D$21,"")</f>
        <v>91</v>
      </c>
      <c r="I11" s="84">
        <f>IF($B11="Yes",I10-Parameters!$D$22,"")</f>
        <v>91</v>
      </c>
      <c r="J11" s="85">
        <f t="shared" si="5"/>
        <v>264</v>
      </c>
      <c r="L11" s="110" t="str">
        <f>IF(A11=Parameters!$C$13,$G$51*Parameters!$D$24,IF(D11="Yes",L10*(1-Parameters!$G$27),""))</f>
        <v/>
      </c>
      <c r="M11" s="111" t="str">
        <f>IF(A11=Parameters!$C$13,$H$51*Parameters!$D$24,IF(D11="Yes",M10*(1-Parameters!$G$28),""))</f>
        <v/>
      </c>
      <c r="N11" s="111" t="str">
        <f>IF(A11=Parameters!$C$13,$I$51*Parameters!$D$24,IF(D11="Yes",N10*(1-Parameters!$G$29),""))</f>
        <v/>
      </c>
      <c r="O11" s="89" t="str">
        <f>IF(OR(A11&lt;Parameters!$C$13,A11&gt;Parameters!$C$14),"",SUM(L11:N11))</f>
        <v/>
      </c>
      <c r="Q11" s="74" t="str">
        <f>IF(A11=Parameters!$B$12-1,-Parameters!B41*'Scenario 2'!J11,"")</f>
        <v/>
      </c>
      <c r="R11" s="75">
        <f>IF(AND(A11&gt;=Parameters!$B$12,A11&lt;=Parameters!$C$12),-Parameters!$D$36,"")</f>
        <v>-150</v>
      </c>
      <c r="S11" s="23"/>
      <c r="T11" s="75" t="str">
        <f>IF(AND(A11&gt;=Parameters!$B$13,A11&lt;=Parameters!$C$13),-Parameters!$C$39,"")</f>
        <v/>
      </c>
      <c r="U11" s="75" t="str">
        <f>IF(A11=Parameters!C$13,-Parameters!$C$37*O11,"")</f>
        <v/>
      </c>
      <c r="V11" s="75" t="str">
        <f>IF(AND(A11&gt;=Parameters!$B$14,A11&lt;=Parameters!$C$14),-Parameters!$D$37,"")</f>
        <v/>
      </c>
      <c r="W11" s="93" t="str">
        <f t="shared" si="0"/>
        <v/>
      </c>
      <c r="X11" s="114" t="str">
        <f>IF(AND(A11&gt;=Parameters!$B$15,A11&lt;=Parameters!$C$15),($L$47*Parameters!$D$45+$M$47*Parameters!$D$46+$N$47*Parameters!$D$47)*0.5,"")</f>
        <v/>
      </c>
      <c r="Z11" s="99">
        <f>(1+Parameters!$B$52)^-A11</f>
        <v>0.99843448401887536</v>
      </c>
      <c r="AA11" s="94">
        <f t="shared" si="1"/>
        <v>-149.76517260283131</v>
      </c>
      <c r="AC11" s="99">
        <f t="shared" si="2"/>
        <v>0.96095174798510252</v>
      </c>
      <c r="AD11" s="94">
        <f t="shared" si="3"/>
        <v>-144.14276219776536</v>
      </c>
    </row>
    <row r="12" spans="1:30" x14ac:dyDescent="0.2">
      <c r="A12" s="74">
        <f t="shared" si="4"/>
        <v>7</v>
      </c>
      <c r="B12" s="74" t="str">
        <f>IF(AND(A12&gt;=Parameters!$B$12,A12&lt;=Parameters!$C$12),"Yes","")</f>
        <v>Yes</v>
      </c>
      <c r="C12" s="75" t="str">
        <f>IF(AND(A12&gt;=Parameters!$B$13,A12&lt;=Parameters!$C$13),"Yes","")</f>
        <v/>
      </c>
      <c r="D12" s="75" t="str">
        <f>IF(AND(A12&gt;=Parameters!$B$14,A12&lt;=Parameters!$C$14),"Yes","")</f>
        <v/>
      </c>
      <c r="E12" s="76" t="str">
        <f>IF(AND(A12&gt;=Parameters!$B$15,A12&lt;=Parameters!$C$15),"Yes","")</f>
        <v/>
      </c>
      <c r="G12" s="83">
        <f>IF($B12="Yes",G11-Parameters!$D$20,"")</f>
        <v>79</v>
      </c>
      <c r="H12" s="84">
        <f>IF($B12="Yes",H11-Parameters!$D$21,"")</f>
        <v>89.5</v>
      </c>
      <c r="I12" s="84">
        <f>IF($B12="Yes",I11-Parameters!$D$22,"")</f>
        <v>89.5</v>
      </c>
      <c r="J12" s="85">
        <f t="shared" si="5"/>
        <v>258</v>
      </c>
      <c r="L12" s="110" t="str">
        <f>IF(A12=Parameters!$C$13,$G$51*Parameters!$D$24,IF(D12="Yes",L11*(1-Parameters!$G$27),""))</f>
        <v/>
      </c>
      <c r="M12" s="111" t="str">
        <f>IF(A12=Parameters!$C$13,$H$51*Parameters!$D$24,IF(D12="Yes",M11*(1-Parameters!$G$28),""))</f>
        <v/>
      </c>
      <c r="N12" s="111" t="str">
        <f>IF(A12=Parameters!$C$13,$I$51*Parameters!$D$24,IF(D12="Yes",N11*(1-Parameters!$G$29),""))</f>
        <v/>
      </c>
      <c r="O12" s="89" t="str">
        <f>IF(OR(A12&lt;Parameters!$C$13,A12&gt;Parameters!$C$14),"",SUM(L12:N12))</f>
        <v/>
      </c>
      <c r="Q12" s="74" t="str">
        <f>IF(A12=Parameters!$B$12-1,-Parameters!B42*'Scenario 2'!J12,"")</f>
        <v/>
      </c>
      <c r="R12" s="75">
        <f>IF(AND(A12&gt;=Parameters!$B$12,A12&lt;=Parameters!$C$12),-Parameters!$D$36,"")</f>
        <v>-150</v>
      </c>
      <c r="S12" s="23"/>
      <c r="T12" s="75" t="str">
        <f>IF(AND(A12&gt;=Parameters!$B$13,A12&lt;=Parameters!$C$13),-Parameters!$C$39,"")</f>
        <v/>
      </c>
      <c r="U12" s="75" t="str">
        <f>IF(A12=Parameters!C$13,-Parameters!$C$37*O12,"")</f>
        <v/>
      </c>
      <c r="V12" s="75" t="str">
        <f>IF(AND(A12&gt;=Parameters!$B$14,A12&lt;=Parameters!$C$14),-Parameters!$D$37,"")</f>
        <v/>
      </c>
      <c r="W12" s="93" t="str">
        <f t="shared" si="0"/>
        <v/>
      </c>
      <c r="X12" s="114" t="str">
        <f>IF(AND(A12&gt;=Parameters!$B$15,A12&lt;=Parameters!$C$15),($L$47*Parameters!$D$45+$M$47*Parameters!$D$46+$N$47*Parameters!$D$47)*0.5,"")</f>
        <v/>
      </c>
      <c r="Z12" s="99">
        <f>(1+Parameters!$B$52)^-A12</f>
        <v>0.99817380306851911</v>
      </c>
      <c r="AA12" s="94">
        <f t="shared" si="1"/>
        <v>-149.72607046027787</v>
      </c>
      <c r="AC12" s="99">
        <f t="shared" si="2"/>
        <v>0.95459358448312082</v>
      </c>
      <c r="AD12" s="94">
        <f t="shared" si="3"/>
        <v>-143.18903767246812</v>
      </c>
    </row>
    <row r="13" spans="1:30" x14ac:dyDescent="0.2">
      <c r="A13" s="74">
        <f t="shared" si="4"/>
        <v>8</v>
      </c>
      <c r="B13" s="74" t="str">
        <f>IF(AND(A13&gt;=Parameters!$B$12,A13&lt;=Parameters!$C$12),"Yes","")</f>
        <v>Yes</v>
      </c>
      <c r="C13" s="75" t="str">
        <f>IF(AND(A13&gt;=Parameters!$B$13,A13&lt;=Parameters!$C$13),"Yes","")</f>
        <v/>
      </c>
      <c r="D13" s="75" t="str">
        <f>IF(AND(A13&gt;=Parameters!$B$14,A13&lt;=Parameters!$C$14),"Yes","")</f>
        <v/>
      </c>
      <c r="E13" s="76" t="str">
        <f>IF(AND(A13&gt;=Parameters!$B$15,A13&lt;=Parameters!$C$15),"Yes","")</f>
        <v/>
      </c>
      <c r="G13" s="83">
        <f>IF($B13="Yes",G12-Parameters!$D$20,"")</f>
        <v>76</v>
      </c>
      <c r="H13" s="84">
        <f>IF($B13="Yes",H12-Parameters!$D$21,"")</f>
        <v>88</v>
      </c>
      <c r="I13" s="84">
        <f>IF($B13="Yes",I12-Parameters!$D$22,"")</f>
        <v>88</v>
      </c>
      <c r="J13" s="85">
        <f t="shared" si="5"/>
        <v>252</v>
      </c>
      <c r="L13" s="110" t="str">
        <f>IF(A13=Parameters!$C$13,$G$51*Parameters!$D$24,IF(D13="Yes",L12*(1-Parameters!$G$27),""))</f>
        <v/>
      </c>
      <c r="M13" s="111" t="str">
        <f>IF(A13=Parameters!$C$13,$H$51*Parameters!$D$24,IF(D13="Yes",M12*(1-Parameters!$G$28),""))</f>
        <v/>
      </c>
      <c r="N13" s="111" t="str">
        <f>IF(A13=Parameters!$C$13,$I$51*Parameters!$D$24,IF(D13="Yes",N12*(1-Parameters!$G$29),""))</f>
        <v/>
      </c>
      <c r="O13" s="89" t="str">
        <f>IF(OR(A13&lt;Parameters!$C$13,A13&gt;Parameters!$C$14),"",SUM(L13:N13))</f>
        <v/>
      </c>
      <c r="Q13" s="74" t="str">
        <f>IF(A13=Parameters!$B$12-1,-Parameters!B43*'Scenario 2'!J13,"")</f>
        <v/>
      </c>
      <c r="R13" s="75">
        <f>IF(AND(A13&gt;=Parameters!$B$12,A13&lt;=Parameters!$C$12),-Parameters!$D$36,"")</f>
        <v>-150</v>
      </c>
      <c r="S13" s="23"/>
      <c r="T13" s="75" t="str">
        <f>IF(AND(A13&gt;=Parameters!$B$13,A13&lt;=Parameters!$C$13),-Parameters!$C$39,"")</f>
        <v/>
      </c>
      <c r="U13" s="75" t="str">
        <f>IF(A13=Parameters!C$13,-Parameters!$C$37*O13,"")</f>
        <v/>
      </c>
      <c r="V13" s="75" t="str">
        <f>IF(AND(A13&gt;=Parameters!$B$14,A13&lt;=Parameters!$C$14),-Parameters!$D$37,"")</f>
        <v/>
      </c>
      <c r="W13" s="93" t="str">
        <f t="shared" si="0"/>
        <v/>
      </c>
      <c r="X13" s="114" t="str">
        <f>IF(AND(A13&gt;=Parameters!$B$15,A13&lt;=Parameters!$C$15),($L$47*Parameters!$D$45+$M$47*Parameters!$D$46+$N$47*Parameters!$D$47)*0.5,"")</f>
        <v/>
      </c>
      <c r="Z13" s="99">
        <f>(1+Parameters!$B$52)^-A13</f>
        <v>0.99791319017927205</v>
      </c>
      <c r="AA13" s="94">
        <f t="shared" si="1"/>
        <v>-149.68697852689081</v>
      </c>
      <c r="AC13" s="99">
        <f t="shared" si="2"/>
        <v>0.94827748994370964</v>
      </c>
      <c r="AD13" s="94">
        <f t="shared" si="3"/>
        <v>-142.24162349155645</v>
      </c>
    </row>
    <row r="14" spans="1:30" x14ac:dyDescent="0.2">
      <c r="A14" s="74">
        <f t="shared" si="4"/>
        <v>9</v>
      </c>
      <c r="B14" s="74" t="str">
        <f>IF(AND(A14&gt;=Parameters!$B$12,A14&lt;=Parameters!$C$12),"Yes","")</f>
        <v>Yes</v>
      </c>
      <c r="C14" s="75" t="str">
        <f>IF(AND(A14&gt;=Parameters!$B$13,A14&lt;=Parameters!$C$13),"Yes","")</f>
        <v/>
      </c>
      <c r="D14" s="75" t="str">
        <f>IF(AND(A14&gt;=Parameters!$B$14,A14&lt;=Parameters!$C$14),"Yes","")</f>
        <v/>
      </c>
      <c r="E14" s="76" t="str">
        <f>IF(AND(A14&gt;=Parameters!$B$15,A14&lt;=Parameters!$C$15),"Yes","")</f>
        <v/>
      </c>
      <c r="G14" s="83">
        <f>IF($B14="Yes",G13-Parameters!$D$20,"")</f>
        <v>73</v>
      </c>
      <c r="H14" s="84">
        <f>IF($B14="Yes",H13-Parameters!$D$21,"")</f>
        <v>86.5</v>
      </c>
      <c r="I14" s="84">
        <f>IF($B14="Yes",I13-Parameters!$D$22,"")</f>
        <v>86.5</v>
      </c>
      <c r="J14" s="85">
        <f t="shared" si="5"/>
        <v>246</v>
      </c>
      <c r="L14" s="110" t="str">
        <f>IF(A14=Parameters!$C$13,$G$51*Parameters!$D$24,IF(D14="Yes",L13*(1-Parameters!$G$27),""))</f>
        <v/>
      </c>
      <c r="M14" s="111" t="str">
        <f>IF(A14=Parameters!$C$13,$H$51*Parameters!$D$24,IF(D14="Yes",M13*(1-Parameters!$G$28),""))</f>
        <v/>
      </c>
      <c r="N14" s="111" t="str">
        <f>IF(A14=Parameters!$C$13,$I$51*Parameters!$D$24,IF(D14="Yes",N13*(1-Parameters!$G$29),""))</f>
        <v/>
      </c>
      <c r="O14" s="89" t="str">
        <f>IF(OR(A14&lt;Parameters!$C$13,A14&gt;Parameters!$C$14),"",SUM(L14:N14))</f>
        <v/>
      </c>
      <c r="Q14" s="74" t="str">
        <f>IF(A14=Parameters!$B$12-1,-Parameters!B44*'Scenario 2'!J14,"")</f>
        <v/>
      </c>
      <c r="R14" s="75">
        <f>IF(AND(A14&gt;=Parameters!$B$12,A14&lt;=Parameters!$C$12),-Parameters!$D$36,"")</f>
        <v>-150</v>
      </c>
      <c r="S14" s="23"/>
      <c r="T14" s="75" t="str">
        <f>IF(AND(A14&gt;=Parameters!$B$13,A14&lt;=Parameters!$C$13),-Parameters!$C$39,"")</f>
        <v/>
      </c>
      <c r="U14" s="75" t="str">
        <f>IF(A14=Parameters!C$13,-Parameters!$C$37*O14,"")</f>
        <v/>
      </c>
      <c r="V14" s="75" t="str">
        <f>IF(AND(A14&gt;=Parameters!$B$14,A14&lt;=Parameters!$C$14),-Parameters!$D$37,"")</f>
        <v/>
      </c>
      <c r="W14" s="93" t="str">
        <f t="shared" si="0"/>
        <v/>
      </c>
      <c r="X14" s="114" t="str">
        <f>IF(AND(A14&gt;=Parameters!$B$15,A14&lt;=Parameters!$C$15),($L$47*Parameters!$D$45+$M$47*Parameters!$D$46+$N$47*Parameters!$D$47)*0.5,"")</f>
        <v/>
      </c>
      <c r="Z14" s="99">
        <f>(1+Parameters!$B$52)^-A14</f>
        <v>0.99765264533336329</v>
      </c>
      <c r="AA14" s="94">
        <f t="shared" si="1"/>
        <v>-149.6478968000045</v>
      </c>
      <c r="AC14" s="99">
        <f t="shared" si="2"/>
        <v>0.9420031860164283</v>
      </c>
      <c r="AD14" s="94">
        <f t="shared" si="3"/>
        <v>-141.30047790246425</v>
      </c>
    </row>
    <row r="15" spans="1:30" x14ac:dyDescent="0.2">
      <c r="A15" s="74">
        <f t="shared" si="4"/>
        <v>10</v>
      </c>
      <c r="B15" s="74" t="str">
        <f>IF(AND(A15&gt;=Parameters!$B$12,A15&lt;=Parameters!$C$12),"Yes","")</f>
        <v>Yes</v>
      </c>
      <c r="C15" s="75" t="str">
        <f>IF(AND(A15&gt;=Parameters!$B$13,A15&lt;=Parameters!$C$13),"Yes","")</f>
        <v/>
      </c>
      <c r="D15" s="75" t="str">
        <f>IF(AND(A15&gt;=Parameters!$B$14,A15&lt;=Parameters!$C$14),"Yes","")</f>
        <v/>
      </c>
      <c r="E15" s="76" t="str">
        <f>IF(AND(A15&gt;=Parameters!$B$15,A15&lt;=Parameters!$C$15),"Yes","")</f>
        <v/>
      </c>
      <c r="G15" s="83">
        <f>IF($B15="Yes",G14-Parameters!$D$20,"")</f>
        <v>70</v>
      </c>
      <c r="H15" s="84">
        <f>IF($B15="Yes",H14-Parameters!$D$21,"")</f>
        <v>85</v>
      </c>
      <c r="I15" s="84">
        <f>IF($B15="Yes",I14-Parameters!$D$22,"")</f>
        <v>85</v>
      </c>
      <c r="J15" s="85">
        <f t="shared" si="5"/>
        <v>240</v>
      </c>
      <c r="L15" s="110" t="str">
        <f>IF(A15=Parameters!$C$13,$G$51*Parameters!$D$24,IF(D15="Yes",L14*(1-Parameters!$G$27),""))</f>
        <v/>
      </c>
      <c r="M15" s="111" t="str">
        <f>IF(A15=Parameters!$C$13,$H$51*Parameters!$D$24,IF(D15="Yes",M14*(1-Parameters!$G$28),""))</f>
        <v/>
      </c>
      <c r="N15" s="111" t="str">
        <f>IF(A15=Parameters!$C$13,$I$51*Parameters!$D$24,IF(D15="Yes",N14*(1-Parameters!$G$29),""))</f>
        <v/>
      </c>
      <c r="O15" s="89" t="str">
        <f>IF(OR(A15&lt;Parameters!$C$13,A15&gt;Parameters!$C$14),"",SUM(L15:N15))</f>
        <v/>
      </c>
      <c r="Q15" s="74" t="str">
        <f>IF(A15=Parameters!$B$12-1,-Parameters!B45*'Scenario 2'!J15,"")</f>
        <v/>
      </c>
      <c r="R15" s="75">
        <f>IF(AND(A15&gt;=Parameters!$B$12,A15&lt;=Parameters!$C$12),-Parameters!$D$36,"")</f>
        <v>-150</v>
      </c>
      <c r="S15" s="23"/>
      <c r="T15" s="75" t="str">
        <f>IF(AND(A15&gt;=Parameters!$B$13,A15&lt;=Parameters!$C$13),-Parameters!$C$39,"")</f>
        <v/>
      </c>
      <c r="U15" s="75" t="str">
        <f>IF(A15=Parameters!C$13,-Parameters!$C$37*O15,"")</f>
        <v/>
      </c>
      <c r="V15" s="75" t="str">
        <f>IF(AND(A15&gt;=Parameters!$B$14,A15&lt;=Parameters!$C$14),-Parameters!$D$37,"")</f>
        <v/>
      </c>
      <c r="W15" s="93" t="str">
        <f t="shared" si="0"/>
        <v/>
      </c>
      <c r="X15" s="114" t="str">
        <f>IF(AND(A15&gt;=Parameters!$B$15,A15&lt;=Parameters!$C$15),($L$47*Parameters!$D$45+$M$47*Parameters!$D$46+$N$47*Parameters!$D$47)*0.5,"")</f>
        <v/>
      </c>
      <c r="Z15" s="99">
        <f>(1+Parameters!$B$52)^-A15</f>
        <v>0.99739216851302781</v>
      </c>
      <c r="AA15" s="94">
        <f t="shared" si="1"/>
        <v>-149.60882527695418</v>
      </c>
      <c r="AC15" s="99">
        <f t="shared" si="2"/>
        <v>0.93577039619254965</v>
      </c>
      <c r="AD15" s="94">
        <f t="shared" si="3"/>
        <v>-140.36555942888245</v>
      </c>
    </row>
    <row r="16" spans="1:30" x14ac:dyDescent="0.2">
      <c r="A16" s="74">
        <f t="shared" si="4"/>
        <v>11</v>
      </c>
      <c r="B16" s="74" t="str">
        <f>IF(AND(A16&gt;=Parameters!$B$12,A16&lt;=Parameters!$C$12),"Yes","")</f>
        <v>Yes</v>
      </c>
      <c r="C16" s="75" t="str">
        <f>IF(AND(A16&gt;=Parameters!$B$13,A16&lt;=Parameters!$C$13),"Yes","")</f>
        <v/>
      </c>
      <c r="D16" s="75" t="str">
        <f>IF(AND(A16&gt;=Parameters!$B$14,A16&lt;=Parameters!$C$14),"Yes","")</f>
        <v/>
      </c>
      <c r="E16" s="76" t="str">
        <f>IF(AND(A16&gt;=Parameters!$B$15,A16&lt;=Parameters!$C$15),"Yes","")</f>
        <v/>
      </c>
      <c r="G16" s="83">
        <f>IF($B16="Yes",G15-Parameters!$D$20,"")</f>
        <v>67</v>
      </c>
      <c r="H16" s="84">
        <f>IF($B16="Yes",H15-Parameters!$D$21,"")</f>
        <v>83.5</v>
      </c>
      <c r="I16" s="84">
        <f>IF($B16="Yes",I15-Parameters!$D$22,"")</f>
        <v>83.5</v>
      </c>
      <c r="J16" s="85">
        <f t="shared" si="5"/>
        <v>234</v>
      </c>
      <c r="L16" s="110" t="str">
        <f>IF(A16=Parameters!$C$13,$G$51*Parameters!$D$24,IF(D16="Yes",L15*(1-Parameters!$G$27),""))</f>
        <v/>
      </c>
      <c r="M16" s="111" t="str">
        <f>IF(A16=Parameters!$C$13,$H$51*Parameters!$D$24,IF(D16="Yes",M15*(1-Parameters!$G$28),""))</f>
        <v/>
      </c>
      <c r="N16" s="111" t="str">
        <f>IF(A16=Parameters!$C$13,$I$51*Parameters!$D$24,IF(D16="Yes",N15*(1-Parameters!$G$29),""))</f>
        <v/>
      </c>
      <c r="O16" s="89" t="str">
        <f>IF(OR(A16&lt;Parameters!$C$13,A16&gt;Parameters!$C$14),"",SUM(L16:N16))</f>
        <v/>
      </c>
      <c r="Q16" s="74" t="str">
        <f>IF(A16=Parameters!$B$12-1,-Parameters!B46*'Scenario 2'!J16,"")</f>
        <v/>
      </c>
      <c r="R16" s="75">
        <f>IF(AND(A16&gt;=Parameters!$B$12,A16&lt;=Parameters!$C$12),-Parameters!$D$36,"")</f>
        <v>-150</v>
      </c>
      <c r="S16" s="23"/>
      <c r="T16" s="75" t="str">
        <f>IF(AND(A16&gt;=Parameters!$B$13,A16&lt;=Parameters!$C$13),-Parameters!$C$39,"")</f>
        <v/>
      </c>
      <c r="U16" s="75" t="str">
        <f>IF(A16=Parameters!C$13,-Parameters!$C$37*O16,"")</f>
        <v/>
      </c>
      <c r="V16" s="75" t="str">
        <f>IF(AND(A16&gt;=Parameters!$B$14,A16&lt;=Parameters!$C$14),-Parameters!$D$37,"")</f>
        <v/>
      </c>
      <c r="W16" s="93" t="str">
        <f t="shared" si="0"/>
        <v/>
      </c>
      <c r="X16" s="114" t="str">
        <f>IF(AND(A16&gt;=Parameters!$B$15,A16&lt;=Parameters!$C$15),($L$47*Parameters!$D$45+$M$47*Parameters!$D$46+$N$47*Parameters!$D$47)*0.5,"")</f>
        <v/>
      </c>
      <c r="Z16" s="99">
        <f>(1+Parameters!$B$52)^-A16</f>
        <v>0.99713175970050438</v>
      </c>
      <c r="AA16" s="94">
        <f t="shared" si="1"/>
        <v>-149.56976395507564</v>
      </c>
      <c r="AC16" s="99">
        <f t="shared" si="2"/>
        <v>0.92957884579287409</v>
      </c>
      <c r="AD16" s="94">
        <f t="shared" si="3"/>
        <v>-139.43682686893112</v>
      </c>
    </row>
    <row r="17" spans="1:30" x14ac:dyDescent="0.2">
      <c r="A17" s="74">
        <f t="shared" si="4"/>
        <v>12</v>
      </c>
      <c r="B17" s="74" t="str">
        <f>IF(AND(A17&gt;=Parameters!$B$12,A17&lt;=Parameters!$C$12),"Yes","")</f>
        <v>Yes</v>
      </c>
      <c r="C17" s="75" t="str">
        <f>IF(AND(A17&gt;=Parameters!$B$13,A17&lt;=Parameters!$C$13),"Yes","")</f>
        <v/>
      </c>
      <c r="D17" s="75" t="str">
        <f>IF(AND(A17&gt;=Parameters!$B$14,A17&lt;=Parameters!$C$14),"Yes","")</f>
        <v/>
      </c>
      <c r="E17" s="76" t="str">
        <f>IF(AND(A17&gt;=Parameters!$B$15,A17&lt;=Parameters!$C$15),"Yes","")</f>
        <v/>
      </c>
      <c r="G17" s="83">
        <f>IF($B17="Yes",G16-Parameters!$D$20,"")</f>
        <v>64</v>
      </c>
      <c r="H17" s="84">
        <f>IF($B17="Yes",H16-Parameters!$D$21,"")</f>
        <v>82</v>
      </c>
      <c r="I17" s="84">
        <f>IF($B17="Yes",I16-Parameters!$D$22,"")</f>
        <v>82</v>
      </c>
      <c r="J17" s="85">
        <f t="shared" si="5"/>
        <v>228</v>
      </c>
      <c r="L17" s="110" t="str">
        <f>IF(A17=Parameters!$C$13,$G$51*Parameters!$D$24,IF(D17="Yes",L16*(1-Parameters!$G$27),""))</f>
        <v/>
      </c>
      <c r="M17" s="111" t="str">
        <f>IF(A17=Parameters!$C$13,$H$51*Parameters!$D$24,IF(D17="Yes",M16*(1-Parameters!$G$28),""))</f>
        <v/>
      </c>
      <c r="N17" s="111" t="str">
        <f>IF(A17=Parameters!$C$13,$I$51*Parameters!$D$24,IF(D17="Yes",N16*(1-Parameters!$G$29),""))</f>
        <v/>
      </c>
      <c r="O17" s="89" t="str">
        <f>IF(OR(A17&lt;Parameters!$C$13,A17&gt;Parameters!$C$14),"",SUM(L17:N17))</f>
        <v/>
      </c>
      <c r="Q17" s="74" t="str">
        <f>IF(A17=Parameters!$B$12-1,-Parameters!B47*'Scenario 2'!J17,"")</f>
        <v/>
      </c>
      <c r="R17" s="75">
        <f>IF(AND(A17&gt;=Parameters!$B$12,A17&lt;=Parameters!$C$12),-Parameters!$D$36,"")</f>
        <v>-150</v>
      </c>
      <c r="S17" s="23"/>
      <c r="T17" s="75" t="str">
        <f>IF(AND(A17&gt;=Parameters!$B$13,A17&lt;=Parameters!$C$13),-Parameters!$C$39,"")</f>
        <v/>
      </c>
      <c r="U17" s="75" t="str">
        <f>IF(A17=Parameters!C$13,-Parameters!$C$37*O17,"")</f>
        <v/>
      </c>
      <c r="V17" s="75" t="str">
        <f>IF(AND(A17&gt;=Parameters!$B$14,A17&lt;=Parameters!$C$14),-Parameters!$D$37,"")</f>
        <v/>
      </c>
      <c r="W17" s="93" t="str">
        <f t="shared" si="0"/>
        <v/>
      </c>
      <c r="X17" s="114" t="str">
        <f>IF(AND(A17&gt;=Parameters!$B$15,A17&lt;=Parameters!$C$15),($L$47*Parameters!$D$45+$M$47*Parameters!$D$46+$N$47*Parameters!$D$47)*0.5,"")</f>
        <v/>
      </c>
      <c r="Z17" s="99">
        <f>(1+Parameters!$B$52)^-A17</f>
        <v>0.99687141887803754</v>
      </c>
      <c r="AA17" s="94">
        <f t="shared" si="1"/>
        <v>-149.53071283170564</v>
      </c>
      <c r="AC17" s="99">
        <f t="shared" si="2"/>
        <v>0.92342826195562377</v>
      </c>
      <c r="AD17" s="94">
        <f t="shared" si="3"/>
        <v>-138.51423929334356</v>
      </c>
    </row>
    <row r="18" spans="1:30" x14ac:dyDescent="0.2">
      <c r="A18" s="74">
        <f t="shared" si="4"/>
        <v>13</v>
      </c>
      <c r="B18" s="74" t="str">
        <f>IF(AND(A18&gt;=Parameters!$B$12,A18&lt;=Parameters!$C$12),"Yes","")</f>
        <v>Yes</v>
      </c>
      <c r="C18" s="75" t="str">
        <f>IF(AND(A18&gt;=Parameters!$B$13,A18&lt;=Parameters!$C$13),"Yes","")</f>
        <v/>
      </c>
      <c r="D18" s="75" t="str">
        <f>IF(AND(A18&gt;=Parameters!$B$14,A18&lt;=Parameters!$C$14),"Yes","")</f>
        <v/>
      </c>
      <c r="E18" s="76" t="str">
        <f>IF(AND(A18&gt;=Parameters!$B$15,A18&lt;=Parameters!$C$15),"Yes","")</f>
        <v/>
      </c>
      <c r="G18" s="83">
        <f>IF($B18="Yes",G17-Parameters!$D$20,"")</f>
        <v>61</v>
      </c>
      <c r="H18" s="84">
        <f>IF($B18="Yes",H17-Parameters!$D$21,"")</f>
        <v>80.5</v>
      </c>
      <c r="I18" s="84">
        <f>IF($B18="Yes",I17-Parameters!$D$22,"")</f>
        <v>80.5</v>
      </c>
      <c r="J18" s="85">
        <f t="shared" si="5"/>
        <v>222</v>
      </c>
      <c r="L18" s="110" t="str">
        <f>IF(A18=Parameters!$C$13,$G$51*Parameters!$D$24,IF(D18="Yes",L17*(1-Parameters!$G$27),""))</f>
        <v/>
      </c>
      <c r="M18" s="111" t="str">
        <f>IF(A18=Parameters!$C$13,$H$51*Parameters!$D$24,IF(D18="Yes",M17*(1-Parameters!$G$28),""))</f>
        <v/>
      </c>
      <c r="N18" s="111" t="str">
        <f>IF(A18=Parameters!$C$13,$I$51*Parameters!$D$24,IF(D18="Yes",N17*(1-Parameters!$G$29),""))</f>
        <v/>
      </c>
      <c r="O18" s="89" t="str">
        <f>IF(OR(A18&lt;Parameters!$C$13,A18&gt;Parameters!$C$14),"",SUM(L18:N18))</f>
        <v/>
      </c>
      <c r="Q18" s="74" t="str">
        <f>IF(A18=Parameters!$B$12-1,-Parameters!B48*'Scenario 2'!J18,"")</f>
        <v/>
      </c>
      <c r="R18" s="75">
        <f>IF(AND(A18&gt;=Parameters!$B$12,A18&lt;=Parameters!$C$12),-Parameters!$D$36,"")</f>
        <v>-150</v>
      </c>
      <c r="S18" s="23"/>
      <c r="T18" s="75" t="str">
        <f>IF(AND(A18&gt;=Parameters!$B$13,A18&lt;=Parameters!$C$13),-Parameters!$C$39,"")</f>
        <v/>
      </c>
      <c r="U18" s="75" t="str">
        <f>IF(A18=Parameters!C$13,-Parameters!$C$37*O18,"")</f>
        <v/>
      </c>
      <c r="V18" s="75" t="str">
        <f>IF(AND(A18&gt;=Parameters!$B$14,A18&lt;=Parameters!$C$14),-Parameters!$D$37,"")</f>
        <v/>
      </c>
      <c r="W18" s="93" t="str">
        <f t="shared" si="0"/>
        <v/>
      </c>
      <c r="X18" s="114" t="str">
        <f>IF(AND(A18&gt;=Parameters!$B$15,A18&lt;=Parameters!$C$15),($L$47*Parameters!$D$45+$M$47*Parameters!$D$46+$N$47*Parameters!$D$47)*0.5,"")</f>
        <v/>
      </c>
      <c r="Z18" s="99">
        <f>(1+Parameters!$B$52)^-A18</f>
        <v>0.99661114602787537</v>
      </c>
      <c r="AA18" s="94">
        <f t="shared" si="1"/>
        <v>-149.49167190418132</v>
      </c>
      <c r="AC18" s="99">
        <f t="shared" si="2"/>
        <v>0.9173183736244197</v>
      </c>
      <c r="AD18" s="94">
        <f t="shared" si="3"/>
        <v>-137.59775604366297</v>
      </c>
    </row>
    <row r="19" spans="1:30" x14ac:dyDescent="0.2">
      <c r="A19" s="74">
        <f t="shared" si="4"/>
        <v>14</v>
      </c>
      <c r="B19" s="74" t="str">
        <f>IF(AND(A19&gt;=Parameters!$B$12,A19&lt;=Parameters!$C$12),"Yes","")</f>
        <v>Yes</v>
      </c>
      <c r="C19" s="75" t="str">
        <f>IF(AND(A19&gt;=Parameters!$B$13,A19&lt;=Parameters!$C$13),"Yes","")</f>
        <v/>
      </c>
      <c r="D19" s="75" t="str">
        <f>IF(AND(A19&gt;=Parameters!$B$14,A19&lt;=Parameters!$C$14),"Yes","")</f>
        <v/>
      </c>
      <c r="E19" s="76" t="str">
        <f>IF(AND(A19&gt;=Parameters!$B$15,A19&lt;=Parameters!$C$15),"Yes","")</f>
        <v/>
      </c>
      <c r="G19" s="83">
        <f>IF($B19="Yes",G18-Parameters!$D$20,"")</f>
        <v>58</v>
      </c>
      <c r="H19" s="84">
        <f>IF($B19="Yes",H18-Parameters!$D$21,"")</f>
        <v>79</v>
      </c>
      <c r="I19" s="84">
        <f>IF($B19="Yes",I18-Parameters!$D$22,"")</f>
        <v>79</v>
      </c>
      <c r="J19" s="85">
        <f t="shared" si="5"/>
        <v>216</v>
      </c>
      <c r="L19" s="110" t="str">
        <f>IF(A19=Parameters!$C$13,$G$51*Parameters!$D$24,IF(D19="Yes",L18*(1-Parameters!$G$27),""))</f>
        <v/>
      </c>
      <c r="M19" s="111" t="str">
        <f>IF(A19=Parameters!$C$13,$H$51*Parameters!$D$24,IF(D19="Yes",M18*(1-Parameters!$G$28),""))</f>
        <v/>
      </c>
      <c r="N19" s="111" t="str">
        <f>IF(A19=Parameters!$C$13,$I$51*Parameters!$D$24,IF(D19="Yes",N18*(1-Parameters!$G$29),""))</f>
        <v/>
      </c>
      <c r="O19" s="89" t="str">
        <f>IF(OR(A19&lt;Parameters!$C$13,A19&gt;Parameters!$C$14),"",SUM(L19:N19))</f>
        <v/>
      </c>
      <c r="Q19" s="74" t="str">
        <f>IF(A19=Parameters!$B$12-1,-Parameters!B17*'Scenario 2'!J19,"")</f>
        <v/>
      </c>
      <c r="R19" s="75">
        <f>IF(AND(A19&gt;=Parameters!$B$12,A19&lt;=Parameters!$C$12),-Parameters!$D$36,"")</f>
        <v>-150</v>
      </c>
      <c r="S19" s="23"/>
      <c r="T19" s="75" t="str">
        <f>IF(AND(A19&gt;=Parameters!$B$13,A19&lt;=Parameters!$C$13),-Parameters!$C$39,"")</f>
        <v/>
      </c>
      <c r="U19" s="75" t="str">
        <f>IF(A19=Parameters!C$13,-Parameters!$C$37*O19,"")</f>
        <v/>
      </c>
      <c r="V19" s="75" t="str">
        <f>IF(AND(A19&gt;=Parameters!$B$14,A19&lt;=Parameters!$C$14),-Parameters!$D$37,"")</f>
        <v/>
      </c>
      <c r="W19" s="93" t="str">
        <f t="shared" si="0"/>
        <v/>
      </c>
      <c r="X19" s="114" t="str">
        <f>IF(AND(A19&gt;=Parameters!$B$15,A19&lt;=Parameters!$C$15),($L$47*Parameters!$D$45+$M$47*Parameters!$D$46+$N$47*Parameters!$D$47)*0.5,"")</f>
        <v/>
      </c>
      <c r="Z19" s="99">
        <f>(1+Parameters!$B$52)^-A19</f>
        <v>0.99635094113227129</v>
      </c>
      <c r="AA19" s="94">
        <f t="shared" si="1"/>
        <v>-149.45264116984069</v>
      </c>
      <c r="AC19" s="99">
        <f t="shared" si="2"/>
        <v>0.91124891153633336</v>
      </c>
      <c r="AD19" s="94">
        <f t="shared" si="3"/>
        <v>-136.68733673045</v>
      </c>
    </row>
    <row r="20" spans="1:30" x14ac:dyDescent="0.2">
      <c r="A20" s="74">
        <f t="shared" si="4"/>
        <v>15</v>
      </c>
      <c r="B20" s="74" t="str">
        <f>IF(AND(A20&gt;=Parameters!$B$12,A20&lt;=Parameters!$C$12),"Yes","")</f>
        <v>Yes</v>
      </c>
      <c r="C20" s="75" t="str">
        <f>IF(AND(A20&gt;=Parameters!$B$13,A20&lt;=Parameters!$C$13),"Yes","")</f>
        <v/>
      </c>
      <c r="D20" s="75" t="str">
        <f>IF(AND(A20&gt;=Parameters!$B$14,A20&lt;=Parameters!$C$14),"Yes","")</f>
        <v/>
      </c>
      <c r="E20" s="76" t="str">
        <f>IF(AND(A20&gt;=Parameters!$B$15,A20&lt;=Parameters!$C$15),"Yes","")</f>
        <v/>
      </c>
      <c r="G20" s="83">
        <f>IF($B20="Yes",G19-Parameters!$D$20,"")</f>
        <v>55</v>
      </c>
      <c r="H20" s="84">
        <f>IF($B20="Yes",H19-Parameters!$D$21,"")</f>
        <v>77.5</v>
      </c>
      <c r="I20" s="84">
        <f>IF($B20="Yes",I19-Parameters!$D$22,"")</f>
        <v>77.5</v>
      </c>
      <c r="J20" s="85">
        <f t="shared" si="5"/>
        <v>210</v>
      </c>
      <c r="L20" s="110" t="str">
        <f>IF(A20=Parameters!$C$13,$G$51*Parameters!$D$24,IF(D20="Yes",L19*(1-Parameters!$G$27),""))</f>
        <v/>
      </c>
      <c r="M20" s="111" t="str">
        <f>IF(A20=Parameters!$C$13,$H$51*Parameters!$D$24,IF(D20="Yes",M19*(1-Parameters!$G$28),""))</f>
        <v/>
      </c>
      <c r="N20" s="111" t="str">
        <f>IF(A20=Parameters!$C$13,$I$51*Parameters!$D$24,IF(D20="Yes",N19*(1-Parameters!$G$29),""))</f>
        <v/>
      </c>
      <c r="O20" s="89" t="str">
        <f>IF(OR(A20&lt;Parameters!$C$13,A20&gt;Parameters!$C$14),"",SUM(L20:N20))</f>
        <v/>
      </c>
      <c r="Q20" s="74" t="str">
        <f>IF(A20=Parameters!$B$12-1,-Parameters!B18*'Scenario 2'!J20,"")</f>
        <v/>
      </c>
      <c r="R20" s="75">
        <f>IF(AND(A20&gt;=Parameters!$B$12,A20&lt;=Parameters!$C$12),-Parameters!$D$36,"")</f>
        <v>-150</v>
      </c>
      <c r="S20" s="23"/>
      <c r="T20" s="75" t="str">
        <f>IF(AND(A20&gt;=Parameters!$B$13,A20&lt;=Parameters!$C$13),-Parameters!$C$39,"")</f>
        <v/>
      </c>
      <c r="U20" s="75" t="str">
        <f>IF(A20=Parameters!C$13,-Parameters!$C$37*O20,"")</f>
        <v/>
      </c>
      <c r="V20" s="75" t="str">
        <f>IF(AND(A20&gt;=Parameters!$B$14,A20&lt;=Parameters!$C$14),-Parameters!$D$37,"")</f>
        <v/>
      </c>
      <c r="W20" s="93" t="str">
        <f t="shared" si="0"/>
        <v/>
      </c>
      <c r="X20" s="114" t="str">
        <f>IF(AND(A20&gt;=Parameters!$B$15,A20&lt;=Parameters!$C$15),($L$47*Parameters!$D$45+$M$47*Parameters!$D$46+$N$47*Parameters!$D$47)*0.5,"")</f>
        <v/>
      </c>
      <c r="Z20" s="99">
        <f>(1+Parameters!$B$52)^-A20</f>
        <v>0.99609080417348228</v>
      </c>
      <c r="AA20" s="94">
        <f t="shared" si="1"/>
        <v>-149.41362062602235</v>
      </c>
      <c r="AC20" s="99">
        <f t="shared" si="2"/>
        <v>0.90521960821002245</v>
      </c>
      <c r="AD20" s="94">
        <f t="shared" si="3"/>
        <v>-135.78294123150337</v>
      </c>
    </row>
    <row r="21" spans="1:30" x14ac:dyDescent="0.2">
      <c r="A21" s="74">
        <f t="shared" si="4"/>
        <v>16</v>
      </c>
      <c r="B21" s="74" t="str">
        <f>IF(AND(A21&gt;=Parameters!$B$12,A21&lt;=Parameters!$C$12),"Yes","")</f>
        <v/>
      </c>
      <c r="C21" s="75" t="str">
        <f>IF(AND(A21&gt;=Parameters!$B$13,A21&lt;=Parameters!$C$13),"Yes","")</f>
        <v>Yes</v>
      </c>
      <c r="D21" s="75" t="str">
        <f>IF(AND(A21&gt;=Parameters!$B$14,A21&lt;=Parameters!$C$14),"Yes","")</f>
        <v/>
      </c>
      <c r="E21" s="76" t="str">
        <f>IF(AND(A21&gt;=Parameters!$B$15,A21&lt;=Parameters!$C$15),"Yes","")</f>
        <v/>
      </c>
      <c r="G21" s="83" t="str">
        <f>IF($B21="Yes",G20-Parameters!$D$20,"")</f>
        <v/>
      </c>
      <c r="H21" s="84" t="str">
        <f>IF($B21="Yes",H20-Parameters!$D$21,"")</f>
        <v/>
      </c>
      <c r="I21" s="84" t="str">
        <f>IF($B21="Yes",I20-Parameters!$D$22,"")</f>
        <v/>
      </c>
      <c r="J21" s="85" t="str">
        <f t="shared" si="5"/>
        <v/>
      </c>
      <c r="L21" s="110" t="str">
        <f>IF(A21=Parameters!$C$13,$G$51*Parameters!$D$24,IF(D21="Yes",L20*(1-Parameters!$G$27),""))</f>
        <v/>
      </c>
      <c r="M21" s="111" t="str">
        <f>IF(A21=Parameters!$C$13,$H$51*Parameters!$D$24,IF(D21="Yes",M20*(1-Parameters!$G$28),""))</f>
        <v/>
      </c>
      <c r="N21" s="111" t="str">
        <f>IF(A21=Parameters!$C$13,$I$51*Parameters!$D$24,IF(D21="Yes",N20*(1-Parameters!$G$29),""))</f>
        <v/>
      </c>
      <c r="O21" s="89" t="str">
        <f>IF(OR(A21&lt;Parameters!$C$13,A21&gt;Parameters!$C$14),"",SUM(L21:N21))</f>
        <v/>
      </c>
      <c r="Q21" s="74" t="str">
        <f>IF(A21=Parameters!$B$12-1,-Parameters!B19*'Scenario 2'!J21,"")</f>
        <v/>
      </c>
      <c r="R21" s="75" t="str">
        <f>IF(AND(A21&gt;=Parameters!$B$12,A21&lt;=Parameters!$C$12),-Parameters!$D$36,"")</f>
        <v/>
      </c>
      <c r="S21" s="23"/>
      <c r="T21" s="75">
        <f>IF(AND(A21&gt;=Parameters!$B$13,A21&lt;=Parameters!$C$13),-Parameters!$C$39,"")</f>
        <v>-100</v>
      </c>
      <c r="U21" s="75" t="str">
        <f>IF(A21=Parameters!C$13,-Parameters!$C$37*O21,"")</f>
        <v/>
      </c>
      <c r="V21" s="75" t="str">
        <f>IF(AND(A21&gt;=Parameters!$B$14,A21&lt;=Parameters!$C$14),-Parameters!$D$37,"")</f>
        <v/>
      </c>
      <c r="W21" s="93" t="str">
        <f t="shared" si="0"/>
        <v/>
      </c>
      <c r="X21" s="114" t="str">
        <f>IF(AND(A21&gt;=Parameters!$B$15,A21&lt;=Parameters!$C$15),($L$47*Parameters!$D$45+$M$47*Parameters!$D$46+$N$47*Parameters!$D$47)*0.5,"")</f>
        <v/>
      </c>
      <c r="Z21" s="99">
        <f>(1+Parameters!$B$52)^-A21</f>
        <v>0.99583073513377196</v>
      </c>
      <c r="AA21" s="94">
        <f t="shared" si="1"/>
        <v>-99.583073513377201</v>
      </c>
      <c r="AC21" s="99">
        <f t="shared" si="2"/>
        <v>0.89923019793394243</v>
      </c>
      <c r="AD21" s="94">
        <f t="shared" si="3"/>
        <v>-89.923019793394246</v>
      </c>
    </row>
    <row r="22" spans="1:30" x14ac:dyDescent="0.2">
      <c r="A22" s="74">
        <f t="shared" si="4"/>
        <v>17</v>
      </c>
      <c r="B22" s="74" t="str">
        <f>IF(AND(A22&gt;=Parameters!$B$12,A22&lt;=Parameters!$C$12),"Yes","")</f>
        <v/>
      </c>
      <c r="C22" s="75" t="str">
        <f>IF(AND(A22&gt;=Parameters!$B$13,A22&lt;=Parameters!$C$13),"Yes","")</f>
        <v>Yes</v>
      </c>
      <c r="D22" s="75" t="str">
        <f>IF(AND(A22&gt;=Parameters!$B$14,A22&lt;=Parameters!$C$14),"Yes","")</f>
        <v/>
      </c>
      <c r="E22" s="76" t="str">
        <f>IF(AND(A22&gt;=Parameters!$B$15,A22&lt;=Parameters!$C$15),"Yes","")</f>
        <v/>
      </c>
      <c r="G22" s="83" t="str">
        <f>IF($B22="Yes",G21-Parameters!$D$20,"")</f>
        <v/>
      </c>
      <c r="H22" s="84" t="str">
        <f>IF($B22="Yes",H21-Parameters!$D$21,"")</f>
        <v/>
      </c>
      <c r="I22" s="84" t="str">
        <f>IF($B22="Yes",I21-Parameters!$D$22,"")</f>
        <v/>
      </c>
      <c r="J22" s="85" t="str">
        <f t="shared" si="5"/>
        <v/>
      </c>
      <c r="L22" s="110" t="str">
        <f>IF(A22=Parameters!$C$13,$G$51*Parameters!$D$24,IF(D22="Yes",L21*(1-Parameters!$G$27),""))</f>
        <v/>
      </c>
      <c r="M22" s="111" t="str">
        <f>IF(A22=Parameters!$C$13,$H$51*Parameters!$D$24,IF(D22="Yes",M21*(1-Parameters!$G$28),""))</f>
        <v/>
      </c>
      <c r="N22" s="111" t="str">
        <f>IF(A22=Parameters!$C$13,$I$51*Parameters!$D$24,IF(D22="Yes",N21*(1-Parameters!$G$29),""))</f>
        <v/>
      </c>
      <c r="O22" s="89" t="str">
        <f>IF(OR(A22&lt;Parameters!$C$13,A22&gt;Parameters!$C$14),"",SUM(L22:N22))</f>
        <v/>
      </c>
      <c r="Q22" s="74" t="str">
        <f>IF(A22=Parameters!$B$12-1,-Parameters!B20*'Scenario 2'!J22,"")</f>
        <v/>
      </c>
      <c r="R22" s="75" t="str">
        <f>IF(AND(A22&gt;=Parameters!$B$12,A22&lt;=Parameters!$C$12),-Parameters!$D$36,"")</f>
        <v/>
      </c>
      <c r="S22" s="23"/>
      <c r="T22" s="75">
        <f>IF(AND(A22&gt;=Parameters!$B$13,A22&lt;=Parameters!$C$13),-Parameters!$C$39,"")</f>
        <v>-100</v>
      </c>
      <c r="U22" s="75" t="str">
        <f>IF(A22=Parameters!C$13,-Parameters!$C$37*O22,"")</f>
        <v/>
      </c>
      <c r="V22" s="75" t="str">
        <f>IF(AND(A22&gt;=Parameters!$B$14,A22&lt;=Parameters!$C$14),-Parameters!$D$37,"")</f>
        <v/>
      </c>
      <c r="W22" s="93" t="str">
        <f t="shared" si="0"/>
        <v/>
      </c>
      <c r="X22" s="114" t="str">
        <f>IF(AND(A22&gt;=Parameters!$B$15,A22&lt;=Parameters!$C$15),($L$47*Parameters!$D$45+$M$47*Parameters!$D$46+$N$47*Parameters!$D$47)*0.5,"")</f>
        <v/>
      </c>
      <c r="Z22" s="99">
        <f>(1+Parameters!$B$52)^-A22</f>
        <v>0.99557073399540652</v>
      </c>
      <c r="AA22" s="94">
        <f t="shared" si="1"/>
        <v>-99.557073399540656</v>
      </c>
      <c r="AC22" s="99">
        <f t="shared" si="2"/>
        <v>0.89328041675463621</v>
      </c>
      <c r="AD22" s="94">
        <f t="shared" si="3"/>
        <v>-89.328041675463624</v>
      </c>
    </row>
    <row r="23" spans="1:30" x14ac:dyDescent="0.2">
      <c r="A23" s="74">
        <f t="shared" si="4"/>
        <v>18</v>
      </c>
      <c r="B23" s="74" t="str">
        <f>IF(AND(A23&gt;=Parameters!$B$12,A23&lt;=Parameters!$C$12),"Yes","")</f>
        <v/>
      </c>
      <c r="C23" s="75" t="str">
        <f>IF(AND(A23&gt;=Parameters!$B$13,A23&lt;=Parameters!$C$13),"Yes","")</f>
        <v>Yes</v>
      </c>
      <c r="D23" s="75" t="str">
        <f>IF(AND(A23&gt;=Parameters!$B$14,A23&lt;=Parameters!$C$14),"Yes","")</f>
        <v/>
      </c>
      <c r="E23" s="76" t="str">
        <f>IF(AND(A23&gt;=Parameters!$B$15,A23&lt;=Parameters!$C$15),"Yes","")</f>
        <v/>
      </c>
      <c r="G23" s="83" t="str">
        <f>IF($B23="Yes",G22-Parameters!$D$20,"")</f>
        <v/>
      </c>
      <c r="H23" s="84" t="str">
        <f>IF($B23="Yes",H22-Parameters!$D$21,"")</f>
        <v/>
      </c>
      <c r="I23" s="84" t="str">
        <f>IF($B23="Yes",I22-Parameters!$D$22,"")</f>
        <v/>
      </c>
      <c r="J23" s="85" t="str">
        <f t="shared" si="5"/>
        <v/>
      </c>
      <c r="L23" s="110" t="str">
        <f>IF(A23=Parameters!$C$13,$G$51*Parameters!$D$24,IF(D23="Yes",L22*(1-Parameters!$G$27),""))</f>
        <v/>
      </c>
      <c r="M23" s="111" t="str">
        <f>IF(A23=Parameters!$C$13,$H$51*Parameters!$D$24,IF(D23="Yes",M22*(1-Parameters!$G$28),""))</f>
        <v/>
      </c>
      <c r="N23" s="111" t="str">
        <f>IF(A23=Parameters!$C$13,$I$51*Parameters!$D$24,IF(D23="Yes",N22*(1-Parameters!$G$29),""))</f>
        <v/>
      </c>
      <c r="O23" s="89" t="str">
        <f>IF(OR(A23&lt;Parameters!$C$13,A23&gt;Parameters!$C$14),"",SUM(L23:N23))</f>
        <v/>
      </c>
      <c r="Q23" s="74" t="str">
        <f>IF(A23=Parameters!$B$12-1,-Parameters!B21*'Scenario 2'!J23,"")</f>
        <v/>
      </c>
      <c r="R23" s="75" t="str">
        <f>IF(AND(A23&gt;=Parameters!$B$12,A23&lt;=Parameters!$C$12),-Parameters!$D$36,"")</f>
        <v/>
      </c>
      <c r="S23" s="23"/>
      <c r="T23" s="75">
        <f>IF(AND(A23&gt;=Parameters!$B$13,A23&lt;=Parameters!$C$13),-Parameters!$C$39,"")</f>
        <v>-100</v>
      </c>
      <c r="U23" s="75" t="str">
        <f>IF(A23=Parameters!C$13,-Parameters!$C$37*O23,"")</f>
        <v/>
      </c>
      <c r="V23" s="75" t="str">
        <f>IF(AND(A23&gt;=Parameters!$B$14,A23&lt;=Parameters!$C$14),-Parameters!$D$37,"")</f>
        <v/>
      </c>
      <c r="W23" s="93" t="str">
        <f t="shared" si="0"/>
        <v/>
      </c>
      <c r="X23" s="114" t="str">
        <f>IF(AND(A23&gt;=Parameters!$B$15,A23&lt;=Parameters!$C$15),($L$47*Parameters!$D$45+$M$47*Parameters!$D$46+$N$47*Parameters!$D$47)*0.5,"")</f>
        <v/>
      </c>
      <c r="Z23" s="99">
        <f>(1+Parameters!$B$52)^-A23</f>
        <v>0.9953108007406577</v>
      </c>
      <c r="AA23" s="94">
        <f t="shared" si="1"/>
        <v>-99.53108007406577</v>
      </c>
      <c r="AC23" s="99">
        <f t="shared" si="2"/>
        <v>0.88737000246510178</v>
      </c>
      <c r="AD23" s="94">
        <f t="shared" si="3"/>
        <v>-88.737000246510178</v>
      </c>
    </row>
    <row r="24" spans="1:30" x14ac:dyDescent="0.2">
      <c r="A24" s="74">
        <f t="shared" si="4"/>
        <v>19</v>
      </c>
      <c r="B24" s="74" t="str">
        <f>IF(AND(A24&gt;=Parameters!$B$12,A24&lt;=Parameters!$C$12),"Yes","")</f>
        <v/>
      </c>
      <c r="C24" s="75" t="str">
        <f>IF(AND(A24&gt;=Parameters!$B$13,A24&lt;=Parameters!$C$13),"Yes","")</f>
        <v>Yes</v>
      </c>
      <c r="D24" s="75" t="str">
        <f>IF(AND(A24&gt;=Parameters!$B$14,A24&lt;=Parameters!$C$14),"Yes","")</f>
        <v/>
      </c>
      <c r="E24" s="76" t="str">
        <f>IF(AND(A24&gt;=Parameters!$B$15,A24&lt;=Parameters!$C$15),"Yes","")</f>
        <v/>
      </c>
      <c r="G24" s="83" t="str">
        <f>IF($B24="Yes",G23-Parameters!$D$20,"")</f>
        <v/>
      </c>
      <c r="H24" s="84" t="str">
        <f>IF($B24="Yes",H23-Parameters!$D$21,"")</f>
        <v/>
      </c>
      <c r="I24" s="84" t="str">
        <f>IF($B24="Yes",I23-Parameters!$D$22,"")</f>
        <v/>
      </c>
      <c r="J24" s="85" t="str">
        <f t="shared" si="5"/>
        <v/>
      </c>
      <c r="L24" s="110" t="str">
        <f>IF(A24=Parameters!$C$13,$G$51*Parameters!$D$24,IF(D24="Yes",L23*(1-Parameters!$G$27),""))</f>
        <v/>
      </c>
      <c r="M24" s="111" t="str">
        <f>IF(A24=Parameters!$C$13,$H$51*Parameters!$D$24,IF(D24="Yes",M23*(1-Parameters!$G$28),""))</f>
        <v/>
      </c>
      <c r="N24" s="111" t="str">
        <f>IF(A24=Parameters!$C$13,$I$51*Parameters!$D$24,IF(D24="Yes",N23*(1-Parameters!$G$29),""))</f>
        <v/>
      </c>
      <c r="O24" s="89" t="str">
        <f>IF(OR(A24&lt;Parameters!$C$13,A24&gt;Parameters!$C$14),"",SUM(L24:N24))</f>
        <v/>
      </c>
      <c r="Q24" s="74" t="str">
        <f>IF(A24=Parameters!$B$12-1,-Parameters!B22*'Scenario 2'!J24,"")</f>
        <v/>
      </c>
      <c r="R24" s="75" t="str">
        <f>IF(AND(A24&gt;=Parameters!$B$12,A24&lt;=Parameters!$C$12),-Parameters!$D$36,"")</f>
        <v/>
      </c>
      <c r="S24" s="23"/>
      <c r="T24" s="75">
        <f>IF(AND(A24&gt;=Parameters!$B$13,A24&lt;=Parameters!$C$13),-Parameters!$C$39,"")</f>
        <v>-100</v>
      </c>
      <c r="U24" s="75" t="str">
        <f>IF(A24=Parameters!C$13,-Parameters!$C$37*O24,"")</f>
        <v/>
      </c>
      <c r="V24" s="75" t="str">
        <f>IF(AND(A24&gt;=Parameters!$B$14,A24&lt;=Parameters!$C$14),-Parameters!$D$37,"")</f>
        <v/>
      </c>
      <c r="W24" s="93" t="str">
        <f t="shared" si="0"/>
        <v/>
      </c>
      <c r="X24" s="114" t="str">
        <f>IF(AND(A24&gt;=Parameters!$B$15,A24&lt;=Parameters!$C$15),($L$47*Parameters!$D$45+$M$47*Parameters!$D$46+$N$47*Parameters!$D$47)*0.5,"")</f>
        <v/>
      </c>
      <c r="Z24" s="99">
        <f>(1+Parameters!$B$52)^-A24</f>
        <v>0.99505093535180167</v>
      </c>
      <c r="AA24" s="94">
        <f t="shared" si="1"/>
        <v>-99.505093535180166</v>
      </c>
      <c r="AC24" s="99">
        <f t="shared" si="2"/>
        <v>0.88149869459323726</v>
      </c>
      <c r="AD24" s="94">
        <f t="shared" si="3"/>
        <v>-88.149869459323725</v>
      </c>
    </row>
    <row r="25" spans="1:30" x14ac:dyDescent="0.2">
      <c r="A25" s="74">
        <f t="shared" si="4"/>
        <v>20</v>
      </c>
      <c r="B25" s="74" t="str">
        <f>IF(AND(A25&gt;=Parameters!$B$12,A25&lt;=Parameters!$C$12),"Yes","")</f>
        <v/>
      </c>
      <c r="C25" s="75" t="str">
        <f>IF(AND(A25&gt;=Parameters!$B$13,A25&lt;=Parameters!$C$13),"Yes","")</f>
        <v>Yes</v>
      </c>
      <c r="D25" s="75" t="str">
        <f>IF(AND(A25&gt;=Parameters!$B$14,A25&lt;=Parameters!$C$14),"Yes","")</f>
        <v/>
      </c>
      <c r="E25" s="76" t="str">
        <f>IF(AND(A25&gt;=Parameters!$B$15,A25&lt;=Parameters!$C$15),"Yes","")</f>
        <v/>
      </c>
      <c r="G25" s="83" t="str">
        <f>IF($B25="Yes",G24-Parameters!$D$20,"")</f>
        <v/>
      </c>
      <c r="H25" s="84" t="str">
        <f>IF($B25="Yes",H24-Parameters!$D$21,"")</f>
        <v/>
      </c>
      <c r="I25" s="84" t="str">
        <f>IF($B25="Yes",I24-Parameters!$D$22,"")</f>
        <v/>
      </c>
      <c r="J25" s="85" t="str">
        <f t="shared" si="5"/>
        <v/>
      </c>
      <c r="L25" s="110" t="str">
        <f>IF(A25=Parameters!$C$13,$G$51*Parameters!$D$24,IF(D25="Yes",L24*(1-Parameters!$G$27),""))</f>
        <v/>
      </c>
      <c r="M25" s="111" t="str">
        <f>IF(A25=Parameters!$C$13,$H$51*Parameters!$D$24,IF(D25="Yes",M24*(1-Parameters!$G$28),""))</f>
        <v/>
      </c>
      <c r="N25" s="111" t="str">
        <f>IF(A25=Parameters!$C$13,$I$51*Parameters!$D$24,IF(D25="Yes",N24*(1-Parameters!$G$29),""))</f>
        <v/>
      </c>
      <c r="O25" s="89" t="str">
        <f>IF(OR(A25&lt;Parameters!$C$13,A25&gt;Parameters!$C$14),"",SUM(L25:N25))</f>
        <v/>
      </c>
      <c r="Q25" s="74" t="str">
        <f>IF(A25=Parameters!$B$12-1,-Parameters!B23*'Scenario 2'!J25,"")</f>
        <v/>
      </c>
      <c r="R25" s="75" t="str">
        <f>IF(AND(A25&gt;=Parameters!$B$12,A25&lt;=Parameters!$C$12),-Parameters!$D$36,"")</f>
        <v/>
      </c>
      <c r="S25" s="23"/>
      <c r="T25" s="75">
        <f>IF(AND(A25&gt;=Parameters!$B$13,A25&lt;=Parameters!$C$13),-Parameters!$C$39,"")</f>
        <v>-100</v>
      </c>
      <c r="U25" s="75" t="str">
        <f>IF(A25=Parameters!C$13,-Parameters!$C$37*O25,"")</f>
        <v/>
      </c>
      <c r="V25" s="75" t="str">
        <f>IF(AND(A25&gt;=Parameters!$B$14,A25&lt;=Parameters!$C$14),-Parameters!$D$37,"")</f>
        <v/>
      </c>
      <c r="W25" s="93" t="str">
        <f t="shared" si="0"/>
        <v/>
      </c>
      <c r="X25" s="114" t="str">
        <f>IF(AND(A25&gt;=Parameters!$B$15,A25&lt;=Parameters!$C$15),($L$47*Parameters!$D$45+$M$47*Parameters!$D$46+$N$47*Parameters!$D$47)*0.5,"")</f>
        <v/>
      </c>
      <c r="Z25" s="99">
        <f>(1+Parameters!$B$52)^-A25</f>
        <v>0.99479113781111994</v>
      </c>
      <c r="AA25" s="94">
        <f t="shared" si="1"/>
        <v>-99.479113781111991</v>
      </c>
      <c r="AC25" s="99">
        <f t="shared" si="2"/>
        <v>0.8756662343903614</v>
      </c>
      <c r="AD25" s="94">
        <f t="shared" si="3"/>
        <v>-87.566623439036135</v>
      </c>
    </row>
    <row r="26" spans="1:30" x14ac:dyDescent="0.2">
      <c r="A26" s="74">
        <f t="shared" si="4"/>
        <v>21</v>
      </c>
      <c r="B26" s="74" t="str">
        <f>IF(AND(A26&gt;=Parameters!$B$12,A26&lt;=Parameters!$C$12),"Yes","")</f>
        <v/>
      </c>
      <c r="C26" s="75" t="str">
        <f>IF(AND(A26&gt;=Parameters!$B$13,A26&lt;=Parameters!$C$13),"Yes","")</f>
        <v>Yes</v>
      </c>
      <c r="D26" s="75" t="str">
        <f>IF(AND(A26&gt;=Parameters!$B$14,A26&lt;=Parameters!$C$14),"Yes","")</f>
        <v/>
      </c>
      <c r="E26" s="76" t="str">
        <f>IF(AND(A26&gt;=Parameters!$B$15,A26&lt;=Parameters!$C$15),"Yes","")</f>
        <v/>
      </c>
      <c r="G26" s="83" t="str">
        <f>IF($B26="Yes",G25-Parameters!$D$20,"")</f>
        <v/>
      </c>
      <c r="H26" s="84" t="str">
        <f>IF($B26="Yes",H25-Parameters!$D$21,"")</f>
        <v/>
      </c>
      <c r="I26" s="84" t="str">
        <f>IF($B26="Yes",I25-Parameters!$D$22,"")</f>
        <v/>
      </c>
      <c r="J26" s="85" t="str">
        <f t="shared" si="5"/>
        <v/>
      </c>
      <c r="L26" s="110" t="str">
        <f>IF(A26=Parameters!$C$13,$G$51*Parameters!$D$24,IF(D26="Yes",L25*(1-Parameters!$G$27),""))</f>
        <v/>
      </c>
      <c r="M26" s="111" t="str">
        <f>IF(A26=Parameters!$C$13,$H$51*Parameters!$D$24,IF(D26="Yes",M25*(1-Parameters!$G$28),""))</f>
        <v/>
      </c>
      <c r="N26" s="111" t="str">
        <f>IF(A26=Parameters!$C$13,$I$51*Parameters!$D$24,IF(D26="Yes",N25*(1-Parameters!$G$29),""))</f>
        <v/>
      </c>
      <c r="O26" s="89" t="str">
        <f>IF(OR(A26&lt;Parameters!$C$13,A26&gt;Parameters!$C$14),"",SUM(L26:N26))</f>
        <v/>
      </c>
      <c r="Q26" s="74" t="str">
        <f>IF(A26=Parameters!$B$12-1,-Parameters!B24*'Scenario 2'!J26,"")</f>
        <v/>
      </c>
      <c r="R26" s="75" t="str">
        <f>IF(AND(A26&gt;=Parameters!$B$12,A26&lt;=Parameters!$C$12),-Parameters!$D$36,"")</f>
        <v/>
      </c>
      <c r="S26" s="23"/>
      <c r="T26" s="75">
        <f>IF(AND(A26&gt;=Parameters!$B$13,A26&lt;=Parameters!$C$13),-Parameters!$C$39,"")</f>
        <v>-100</v>
      </c>
      <c r="U26" s="75" t="str">
        <f>IF(A26=Parameters!C$13,-Parameters!$C$37*O26,"")</f>
        <v/>
      </c>
      <c r="V26" s="75" t="str">
        <f>IF(AND(A26&gt;=Parameters!$B$14,A26&lt;=Parameters!$C$14),-Parameters!$D$37,"")</f>
        <v/>
      </c>
      <c r="W26" s="93" t="str">
        <f t="shared" si="0"/>
        <v/>
      </c>
      <c r="X26" s="114" t="str">
        <f>IF(AND(A26&gt;=Parameters!$B$15,A26&lt;=Parameters!$C$15),($L$47*Parameters!$D$45+$M$47*Parameters!$D$46+$N$47*Parameters!$D$47)*0.5,"")</f>
        <v/>
      </c>
      <c r="Z26" s="99">
        <f>(1+Parameters!$B$52)^-A26</f>
        <v>0.99453140810089757</v>
      </c>
      <c r="AA26" s="94">
        <f t="shared" si="1"/>
        <v>-99.453140810089764</v>
      </c>
      <c r="AC26" s="99">
        <f t="shared" si="2"/>
        <v>0.86987236481981067</v>
      </c>
      <c r="AD26" s="94">
        <f t="shared" si="3"/>
        <v>-86.987236481981071</v>
      </c>
    </row>
    <row r="27" spans="1:30" x14ac:dyDescent="0.2">
      <c r="A27" s="74">
        <f t="shared" si="4"/>
        <v>22</v>
      </c>
      <c r="B27" s="74" t="str">
        <f>IF(AND(A27&gt;=Parameters!$B$12,A27&lt;=Parameters!$C$12),"Yes","")</f>
        <v/>
      </c>
      <c r="C27" s="75" t="str">
        <f>IF(AND(A27&gt;=Parameters!$B$13,A27&lt;=Parameters!$C$13),"Yes","")</f>
        <v>Yes</v>
      </c>
      <c r="D27" s="75" t="str">
        <f>IF(AND(A27&gt;=Parameters!$B$14,A27&lt;=Parameters!$C$14),"Yes","")</f>
        <v/>
      </c>
      <c r="E27" s="76" t="str">
        <f>IF(AND(A27&gt;=Parameters!$B$15,A27&lt;=Parameters!$C$15),"Yes","")</f>
        <v/>
      </c>
      <c r="G27" s="83" t="str">
        <f>IF($B27="Yes",G26-Parameters!$D$20,"")</f>
        <v/>
      </c>
      <c r="H27" s="84" t="str">
        <f>IF($B27="Yes",H26-Parameters!$D$21,"")</f>
        <v/>
      </c>
      <c r="I27" s="84" t="str">
        <f>IF($B27="Yes",I26-Parameters!$D$22,"")</f>
        <v/>
      </c>
      <c r="J27" s="85" t="str">
        <f t="shared" si="5"/>
        <v/>
      </c>
      <c r="L27" s="110">
        <f>IF(A27=Parameters!$C$13,$G$51*Parameters!$D$24,IF(D27="Yes",L26*(1-Parameters!$G$27),""))</f>
        <v>550</v>
      </c>
      <c r="M27" s="111">
        <f>IF(A27=Parameters!$C$13,$H$51*Parameters!$D$24,IF(D27="Yes",M26*(1-Parameters!$G$28),""))</f>
        <v>775</v>
      </c>
      <c r="N27" s="111">
        <f>IF(A27=Parameters!$C$13,$I$51*Parameters!$D$24,IF(D27="Yes",N26*(1-Parameters!$G$29),""))</f>
        <v>775</v>
      </c>
      <c r="O27" s="89">
        <f>IF(OR(A27&lt;Parameters!$C$13,A27&gt;Parameters!$C$14),"",SUM(L27:N27))</f>
        <v>2100</v>
      </c>
      <c r="Q27" s="74" t="str">
        <f>IF(A27=Parameters!$B$12-1,-Parameters!B25*'Scenario 2'!J27,"")</f>
        <v/>
      </c>
      <c r="R27" s="75" t="str">
        <f>IF(AND(A27&gt;=Parameters!$B$12,A27&lt;=Parameters!$C$12),-Parameters!$D$36,"")</f>
        <v/>
      </c>
      <c r="S27" s="23"/>
      <c r="T27" s="75">
        <f>IF(AND(A27&gt;=Parameters!$B$13,A27&lt;=Parameters!$C$13),-Parameters!$C$39,"")</f>
        <v>-100</v>
      </c>
      <c r="U27" s="93">
        <f>IF(A27=Parameters!C$13,-Parameters!$C$37*O27,"")</f>
        <v>-1260</v>
      </c>
      <c r="V27" s="75" t="str">
        <f>IF(AND(A27&gt;=Parameters!$B$14,A27&lt;=Parameters!$C$14),-Parameters!$D$37,"")</f>
        <v/>
      </c>
      <c r="W27" s="93" t="str">
        <f t="shared" si="0"/>
        <v/>
      </c>
      <c r="X27" s="114" t="str">
        <f>IF(AND(A27&gt;=Parameters!$B$15,A27&lt;=Parameters!$C$15),($L$47*Parameters!$D$45+$M$47*Parameters!$D$46+$N$47*Parameters!$D$47)*0.5,"")</f>
        <v/>
      </c>
      <c r="Z27" s="99">
        <f>(1+Parameters!$B$52)^-A27</f>
        <v>0.99427174620342484</v>
      </c>
      <c r="AA27" s="94">
        <f t="shared" si="1"/>
        <v>-1352.2095748366578</v>
      </c>
      <c r="AC27" s="99">
        <f t="shared" si="2"/>
        <v>0.86411683054561161</v>
      </c>
      <c r="AD27" s="94">
        <f t="shared" si="3"/>
        <v>-1175.1988895420318</v>
      </c>
    </row>
    <row r="28" spans="1:30" x14ac:dyDescent="0.2">
      <c r="A28" s="74">
        <f t="shared" si="4"/>
        <v>23</v>
      </c>
      <c r="B28" s="74" t="str">
        <f>IF(AND(A28&gt;=Parameters!$B$12,A28&lt;=Parameters!$C$12),"Yes","")</f>
        <v/>
      </c>
      <c r="C28" s="75" t="str">
        <f>IF(AND(A28&gt;=Parameters!$B$13,A28&lt;=Parameters!$C$13),"Yes","")</f>
        <v/>
      </c>
      <c r="D28" s="75" t="str">
        <f>IF(AND(A28&gt;=Parameters!$B$14,A28&lt;=Parameters!$C$14),"Yes","")</f>
        <v>Yes</v>
      </c>
      <c r="E28" s="76" t="str">
        <f>IF(AND(A28&gt;=Parameters!$B$15,A28&lt;=Parameters!$C$15),"Yes","")</f>
        <v/>
      </c>
      <c r="G28" s="83" t="str">
        <f>IF($B28="Yes",G27-Parameters!$D$20,"")</f>
        <v/>
      </c>
      <c r="H28" s="84" t="str">
        <f>IF($B28="Yes",H27-Parameters!$D$21,"")</f>
        <v/>
      </c>
      <c r="I28" s="84" t="str">
        <f>IF($B28="Yes",I27-Parameters!$D$22,"")</f>
        <v/>
      </c>
      <c r="J28" s="85" t="str">
        <f t="shared" si="5"/>
        <v/>
      </c>
      <c r="L28" s="110">
        <f>IF(A28=Parameters!$C$13,$G$51*Parameters!$D$24,IF(D28="Yes",L27*(1-Parameters!$G$27),""))</f>
        <v>544.5</v>
      </c>
      <c r="M28" s="111">
        <f>IF(A28=Parameters!$C$13,$H$51*Parameters!$D$24,IF(D28="Yes",M27*(1-Parameters!$G$28),""))</f>
        <v>767.25</v>
      </c>
      <c r="N28" s="111">
        <f>IF(A28=Parameters!$C$13,$I$51*Parameters!$D$24,IF(D28="Yes",N27*(1-Parameters!$G$29),""))</f>
        <v>744</v>
      </c>
      <c r="O28" s="89">
        <f>IF(OR(A28&lt;Parameters!$C$13,A28&gt;Parameters!$C$14),"",SUM(L28:N28))</f>
        <v>2055.75</v>
      </c>
      <c r="Q28" s="74" t="str">
        <f>IF(A28=Parameters!$B$12-1,-Parameters!B26*'Scenario 2'!J28,"")</f>
        <v/>
      </c>
      <c r="R28" s="75" t="str">
        <f>IF(AND(A28&gt;=Parameters!$B$12,A28&lt;=Parameters!$C$12),-Parameters!$D$36,"")</f>
        <v/>
      </c>
      <c r="S28" s="23"/>
      <c r="T28" s="75" t="str">
        <f>IF(AND(A28&gt;=Parameters!$B$13,A28&lt;=Parameters!$C$13),-Parameters!$C$39,"")</f>
        <v/>
      </c>
      <c r="U28" s="75" t="str">
        <f>IF(A28=Parameters!C$13,-Parameters!$C$37*O28,"")</f>
        <v/>
      </c>
      <c r="V28" s="75">
        <f>IF(AND(A28&gt;=Parameters!$B$14,A28&lt;=Parameters!$C$14),-Parameters!$D$37,"")</f>
        <v>-250</v>
      </c>
      <c r="W28" s="93" t="str">
        <f t="shared" si="0"/>
        <v/>
      </c>
      <c r="X28" s="114" t="str">
        <f>IF(AND(A28&gt;=Parameters!$B$15,A28&lt;=Parameters!$C$15),($L$47*Parameters!$D$45+$M$47*Parameters!$D$46+$N$47*Parameters!$D$47)*0.5,"")</f>
        <v/>
      </c>
      <c r="Z28" s="99">
        <f>(1+Parameters!$B$52)^-A28</f>
        <v>0.99401215210099636</v>
      </c>
      <c r="AA28" s="94">
        <f t="shared" si="1"/>
        <v>-248.50303802524908</v>
      </c>
      <c r="AC28" s="99">
        <f t="shared" si="2"/>
        <v>0.85839937792122833</v>
      </c>
      <c r="AD28" s="94">
        <f t="shared" si="3"/>
        <v>-214.59984448030707</v>
      </c>
    </row>
    <row r="29" spans="1:30" x14ac:dyDescent="0.2">
      <c r="A29" s="74">
        <f t="shared" si="4"/>
        <v>24</v>
      </c>
      <c r="B29" s="74" t="str">
        <f>IF(AND(A29&gt;=Parameters!$B$12,A29&lt;=Parameters!$C$12),"Yes","")</f>
        <v/>
      </c>
      <c r="C29" s="75" t="str">
        <f>IF(AND(A29&gt;=Parameters!$B$13,A29&lt;=Parameters!$C$13),"Yes","")</f>
        <v/>
      </c>
      <c r="D29" s="75" t="str">
        <f>IF(AND(A29&gt;=Parameters!$B$14,A29&lt;=Parameters!$C$14),"Yes","")</f>
        <v>Yes</v>
      </c>
      <c r="E29" s="76" t="str">
        <f>IF(AND(A29&gt;=Parameters!$B$15,A29&lt;=Parameters!$C$15),"Yes","")</f>
        <v/>
      </c>
      <c r="G29" s="83" t="str">
        <f>IF($B29="Yes",G28-Parameters!$D$20,"")</f>
        <v/>
      </c>
      <c r="H29" s="84" t="str">
        <f>IF($B29="Yes",H28-Parameters!$D$21,"")</f>
        <v/>
      </c>
      <c r="I29" s="84" t="str">
        <f>IF($B29="Yes",I28-Parameters!$D$22,"")</f>
        <v/>
      </c>
      <c r="J29" s="85" t="str">
        <f t="shared" si="5"/>
        <v/>
      </c>
      <c r="L29" s="110">
        <f>IF(A29=Parameters!$C$13,$G$51*Parameters!$D$24,IF(D29="Yes",L28*(1-Parameters!$G$27),""))</f>
        <v>539.05499999999995</v>
      </c>
      <c r="M29" s="111">
        <f>IF(A29=Parameters!$C$13,$H$51*Parameters!$D$24,IF(D29="Yes",M28*(1-Parameters!$G$28),""))</f>
        <v>759.57749999999999</v>
      </c>
      <c r="N29" s="111">
        <f>IF(A29=Parameters!$C$13,$I$51*Parameters!$D$24,IF(D29="Yes",N28*(1-Parameters!$G$29),""))</f>
        <v>714.24</v>
      </c>
      <c r="O29" s="89">
        <f>IF(OR(A29&lt;Parameters!$C$13,A29&gt;Parameters!$C$14),"",SUM(L29:N29))</f>
        <v>2012.8724999999999</v>
      </c>
      <c r="Q29" s="74" t="str">
        <f>IF(A29=Parameters!$B$12-1,-Parameters!B27*'Scenario 2'!J29,"")</f>
        <v/>
      </c>
      <c r="R29" s="75" t="str">
        <f>IF(AND(A29&gt;=Parameters!$B$12,A29&lt;=Parameters!$C$12),-Parameters!$D$36,"")</f>
        <v/>
      </c>
      <c r="S29" s="23"/>
      <c r="T29" s="75" t="str">
        <f>IF(AND(A29&gt;=Parameters!$B$13,A29&lt;=Parameters!$C$13),-Parameters!$C$39,"")</f>
        <v/>
      </c>
      <c r="U29" s="75" t="str">
        <f>IF(A29=Parameters!C$13,-Parameters!$C$37*O29,"")</f>
        <v/>
      </c>
      <c r="V29" s="75">
        <f>IF(AND(A29&gt;=Parameters!$B$14,A29&lt;=Parameters!$C$14),-Parameters!$D$37,"")</f>
        <v>-250</v>
      </c>
      <c r="W29" s="93" t="str">
        <f t="shared" si="0"/>
        <v/>
      </c>
      <c r="X29" s="114" t="str">
        <f>IF(AND(A29&gt;=Parameters!$B$15,A29&lt;=Parameters!$C$15),($L$47*Parameters!$D$45+$M$47*Parameters!$D$46+$N$47*Parameters!$D$47)*0.5,"")</f>
        <v/>
      </c>
      <c r="Z29" s="99">
        <f>(1+Parameters!$B$52)^-A29</f>
        <v>0.99375262577591217</v>
      </c>
      <c r="AA29" s="94">
        <f t="shared" si="1"/>
        <v>-248.43815644397804</v>
      </c>
      <c r="AC29" s="99">
        <f t="shared" si="2"/>
        <v>0.85271975497838415</v>
      </c>
      <c r="AD29" s="94">
        <f t="shared" si="3"/>
        <v>-213.17993874459603</v>
      </c>
    </row>
    <row r="30" spans="1:30" x14ac:dyDescent="0.2">
      <c r="A30" s="74">
        <f t="shared" si="4"/>
        <v>25</v>
      </c>
      <c r="B30" s="74" t="str">
        <f>IF(AND(A30&gt;=Parameters!$B$12,A30&lt;=Parameters!$C$12),"Yes","")</f>
        <v/>
      </c>
      <c r="C30" s="75" t="str">
        <f>IF(AND(A30&gt;=Parameters!$B$13,A30&lt;=Parameters!$C$13),"Yes","")</f>
        <v/>
      </c>
      <c r="D30" s="75" t="str">
        <f>IF(AND(A30&gt;=Parameters!$B$14,A30&lt;=Parameters!$C$14),"Yes","")</f>
        <v>Yes</v>
      </c>
      <c r="E30" s="76" t="str">
        <f>IF(AND(A30&gt;=Parameters!$B$15,A30&lt;=Parameters!$C$15),"Yes","")</f>
        <v/>
      </c>
      <c r="G30" s="83" t="str">
        <f>IF($B30="Yes",G29-Parameters!$D$20,"")</f>
        <v/>
      </c>
      <c r="H30" s="84" t="str">
        <f>IF($B30="Yes",H29-Parameters!$D$21,"")</f>
        <v/>
      </c>
      <c r="I30" s="84" t="str">
        <f>IF($B30="Yes",I29-Parameters!$D$22,"")</f>
        <v/>
      </c>
      <c r="J30" s="85" t="str">
        <f t="shared" si="5"/>
        <v/>
      </c>
      <c r="L30" s="110">
        <f>IF(A30=Parameters!$C$13,$G$51*Parameters!$D$24,IF(D30="Yes",L29*(1-Parameters!$G$27),""))</f>
        <v>533.66444999999999</v>
      </c>
      <c r="M30" s="111">
        <f>IF(A30=Parameters!$C$13,$H$51*Parameters!$D$24,IF(D30="Yes",M29*(1-Parameters!$G$28),""))</f>
        <v>751.98172499999998</v>
      </c>
      <c r="N30" s="111">
        <f>IF(A30=Parameters!$C$13,$I$51*Parameters!$D$24,IF(D30="Yes",N29*(1-Parameters!$G$29),""))</f>
        <v>685.67039999999997</v>
      </c>
      <c r="O30" s="89">
        <f>IF(OR(A30&lt;Parameters!$C$13,A30&gt;Parameters!$C$14),"",SUM(L30:N30))</f>
        <v>1971.3165749999998</v>
      </c>
      <c r="Q30" s="74" t="str">
        <f>IF(A30=Parameters!$B$12-1,-Parameters!B28*'Scenario 2'!J30,"")</f>
        <v/>
      </c>
      <c r="R30" s="75" t="str">
        <f>IF(AND(A30&gt;=Parameters!$B$12,A30&lt;=Parameters!$C$12),-Parameters!$D$36,"")</f>
        <v/>
      </c>
      <c r="S30" s="23"/>
      <c r="T30" s="75" t="str">
        <f>IF(AND(A30&gt;=Parameters!$B$13,A30&lt;=Parameters!$C$13),-Parameters!$C$39,"")</f>
        <v/>
      </c>
      <c r="U30" s="75" t="str">
        <f>IF(A30=Parameters!C$13,-Parameters!$C$37*O30,"")</f>
        <v/>
      </c>
      <c r="V30" s="75">
        <f>IF(AND(A30&gt;=Parameters!$B$14,A30&lt;=Parameters!$C$14),-Parameters!$D$37,"")</f>
        <v>-250</v>
      </c>
      <c r="W30" s="93" t="str">
        <f t="shared" si="0"/>
        <v/>
      </c>
      <c r="X30" s="114" t="str">
        <f>IF(AND(A30&gt;=Parameters!$B$15,A30&lt;=Parameters!$C$15),($L$47*Parameters!$D$45+$M$47*Parameters!$D$46+$N$47*Parameters!$D$47)*0.5,"")</f>
        <v/>
      </c>
      <c r="Z30" s="99">
        <f>(1+Parameters!$B$52)^-A30</f>
        <v>0.99349316721047543</v>
      </c>
      <c r="AA30" s="94">
        <f t="shared" si="1"/>
        <v>-248.37329180261887</v>
      </c>
      <c r="AC30" s="99">
        <f t="shared" si="2"/>
        <v>0.84707771141595722</v>
      </c>
      <c r="AD30" s="94">
        <f t="shared" si="3"/>
        <v>-211.7694278539893</v>
      </c>
    </row>
    <row r="31" spans="1:30" x14ac:dyDescent="0.2">
      <c r="A31" s="74">
        <f t="shared" si="4"/>
        <v>26</v>
      </c>
      <c r="B31" s="74" t="str">
        <f>IF(AND(A31&gt;=Parameters!$B$12,A31&lt;=Parameters!$C$12),"Yes","")</f>
        <v/>
      </c>
      <c r="C31" s="75" t="str">
        <f>IF(AND(A31&gt;=Parameters!$B$13,A31&lt;=Parameters!$C$13),"Yes","")</f>
        <v/>
      </c>
      <c r="D31" s="75" t="str">
        <f>IF(AND(A31&gt;=Parameters!$B$14,A31&lt;=Parameters!$C$14),"Yes","")</f>
        <v>Yes</v>
      </c>
      <c r="E31" s="76" t="str">
        <f>IF(AND(A31&gt;=Parameters!$B$15,A31&lt;=Parameters!$C$15),"Yes","")</f>
        <v/>
      </c>
      <c r="G31" s="83" t="str">
        <f>IF($B31="Yes",G30-Parameters!$D$20,"")</f>
        <v/>
      </c>
      <c r="H31" s="84" t="str">
        <f>IF($B31="Yes",H30-Parameters!$D$21,"")</f>
        <v/>
      </c>
      <c r="I31" s="84" t="str">
        <f>IF($B31="Yes",I30-Parameters!$D$22,"")</f>
        <v/>
      </c>
      <c r="J31" s="85" t="str">
        <f t="shared" si="5"/>
        <v/>
      </c>
      <c r="L31" s="110">
        <f>IF(A31=Parameters!$C$13,$G$51*Parameters!$D$24,IF(D31="Yes",L30*(1-Parameters!$G$27),""))</f>
        <v>528.32780549999995</v>
      </c>
      <c r="M31" s="111">
        <f>IF(A31=Parameters!$C$13,$H$51*Parameters!$D$24,IF(D31="Yes",M30*(1-Parameters!$G$28),""))</f>
        <v>744.46190775000002</v>
      </c>
      <c r="N31" s="111">
        <f>IF(A31=Parameters!$C$13,$I$51*Parameters!$D$24,IF(D31="Yes",N30*(1-Parameters!$G$29),""))</f>
        <v>658.24358399999994</v>
      </c>
      <c r="O31" s="89">
        <f>IF(OR(A31&lt;Parameters!$C$13,A31&gt;Parameters!$C$14),"",SUM(L31:N31))</f>
        <v>1931.03329725</v>
      </c>
      <c r="Q31" s="74" t="str">
        <f>IF(A31=Parameters!$B$12-1,-Parameters!B29*'Scenario 2'!J31,"")</f>
        <v/>
      </c>
      <c r="R31" s="75" t="str">
        <f>IF(AND(A31&gt;=Parameters!$B$12,A31&lt;=Parameters!$C$12),-Parameters!$D$36,"")</f>
        <v/>
      </c>
      <c r="S31" s="23"/>
      <c r="T31" s="75" t="str">
        <f>IF(AND(A31&gt;=Parameters!$B$13,A31&lt;=Parameters!$C$13),-Parameters!$C$39,"")</f>
        <v/>
      </c>
      <c r="U31" s="75" t="str">
        <f>IF(A31=Parameters!C$13,-Parameters!$C$37*O31,"")</f>
        <v/>
      </c>
      <c r="V31" s="75">
        <f>IF(AND(A31&gt;=Parameters!$B$14,A31&lt;=Parameters!$C$14),-Parameters!$D$37,"")</f>
        <v>-250</v>
      </c>
      <c r="W31" s="93" t="str">
        <f t="shared" si="0"/>
        <v/>
      </c>
      <c r="X31" s="114" t="str">
        <f>IF(AND(A31&gt;=Parameters!$B$15,A31&lt;=Parameters!$C$15),($L$47*Parameters!$D$45+$M$47*Parameters!$D$46+$N$47*Parameters!$D$47)*0.5,"")</f>
        <v/>
      </c>
      <c r="Z31" s="99">
        <f>(1+Parameters!$B$52)^-A31</f>
        <v>0.99323377638699561</v>
      </c>
      <c r="AA31" s="94">
        <f t="shared" si="1"/>
        <v>-248.3084440967489</v>
      </c>
      <c r="AC31" s="99">
        <f t="shared" si="2"/>
        <v>0.84147299858895008</v>
      </c>
      <c r="AD31" s="94">
        <f t="shared" si="3"/>
        <v>-210.36824964723752</v>
      </c>
    </row>
    <row r="32" spans="1:30" x14ac:dyDescent="0.2">
      <c r="A32" s="74">
        <f t="shared" si="4"/>
        <v>27</v>
      </c>
      <c r="B32" s="74" t="str">
        <f>IF(AND(A32&gt;=Parameters!$B$12,A32&lt;=Parameters!$C$12),"Yes","")</f>
        <v/>
      </c>
      <c r="C32" s="75" t="str">
        <f>IF(AND(A32&gt;=Parameters!$B$13,A32&lt;=Parameters!$C$13),"Yes","")</f>
        <v/>
      </c>
      <c r="D32" s="75" t="str">
        <f>IF(AND(A32&gt;=Parameters!$B$14,A32&lt;=Parameters!$C$14),"Yes","")</f>
        <v>Yes</v>
      </c>
      <c r="E32" s="76" t="str">
        <f>IF(AND(A32&gt;=Parameters!$B$15,A32&lt;=Parameters!$C$15),"Yes","")</f>
        <v/>
      </c>
      <c r="G32" s="83" t="str">
        <f>IF($B32="Yes",G31-Parameters!$D$20,"")</f>
        <v/>
      </c>
      <c r="H32" s="84" t="str">
        <f>IF($B32="Yes",H31-Parameters!$D$21,"")</f>
        <v/>
      </c>
      <c r="I32" s="84" t="str">
        <f>IF($B32="Yes",I31-Parameters!$D$22,"")</f>
        <v/>
      </c>
      <c r="J32" s="85" t="str">
        <f t="shared" si="5"/>
        <v/>
      </c>
      <c r="L32" s="110">
        <f>IF(A32=Parameters!$C$13,$G$51*Parameters!$D$24,IF(D32="Yes",L31*(1-Parameters!$G$27),""))</f>
        <v>523.04452744499997</v>
      </c>
      <c r="M32" s="111">
        <f>IF(A32=Parameters!$C$13,$H$51*Parameters!$D$24,IF(D32="Yes",M31*(1-Parameters!$G$28),""))</f>
        <v>737.01728867250006</v>
      </c>
      <c r="N32" s="111">
        <f>IF(A32=Parameters!$C$13,$I$51*Parameters!$D$24,IF(D32="Yes",N31*(1-Parameters!$G$29),""))</f>
        <v>631.91384063999988</v>
      </c>
      <c r="O32" s="89">
        <f>IF(OR(A32&lt;Parameters!$C$13,A32&gt;Parameters!$C$14),"",SUM(L32:N32))</f>
        <v>1891.9756567575</v>
      </c>
      <c r="Q32" s="74" t="str">
        <f>IF(A32=Parameters!$B$12-1,-Parameters!#REF!*'Scenario 2'!J32,"")</f>
        <v/>
      </c>
      <c r="R32" s="75" t="str">
        <f>IF(AND(A32&gt;=Parameters!$B$12,A32&lt;=Parameters!$C$12),-Parameters!$D$36,"")</f>
        <v/>
      </c>
      <c r="S32" s="23"/>
      <c r="T32" s="75" t="str">
        <f>IF(AND(A32&gt;=Parameters!$B$13,A32&lt;=Parameters!$C$13),-Parameters!$C$39,"")</f>
        <v/>
      </c>
      <c r="U32" s="75" t="str">
        <f>IF(A32=Parameters!C$13,-Parameters!$C$37*O32,"")</f>
        <v/>
      </c>
      <c r="V32" s="75">
        <f>IF(AND(A32&gt;=Parameters!$B$14,A32&lt;=Parameters!$C$14),-Parameters!$D$37,"")</f>
        <v>-250</v>
      </c>
      <c r="W32" s="93" t="str">
        <f t="shared" si="0"/>
        <v/>
      </c>
      <c r="X32" s="114" t="str">
        <f>IF(AND(A32&gt;=Parameters!$B$15,A32&lt;=Parameters!$C$15),($L$47*Parameters!$D$45+$M$47*Parameters!$D$46+$N$47*Parameters!$D$47)*0.5,"")</f>
        <v/>
      </c>
      <c r="Z32" s="99">
        <f>(1+Parameters!$B$52)^-A32</f>
        <v>0.99297445328778489</v>
      </c>
      <c r="AA32" s="94">
        <f t="shared" si="1"/>
        <v>-248.24361332194621</v>
      </c>
      <c r="AC32" s="99">
        <f t="shared" si="2"/>
        <v>0.83590536949753191</v>
      </c>
      <c r="AD32" s="94">
        <f t="shared" si="3"/>
        <v>-208.97634237438297</v>
      </c>
    </row>
    <row r="33" spans="1:30" x14ac:dyDescent="0.2">
      <c r="A33" s="74">
        <f t="shared" si="4"/>
        <v>28</v>
      </c>
      <c r="B33" s="74" t="str">
        <f>IF(AND(A33&gt;=Parameters!$B$12,A33&lt;=Parameters!$C$12),"Yes","")</f>
        <v/>
      </c>
      <c r="C33" s="75" t="str">
        <f>IF(AND(A33&gt;=Parameters!$B$13,A33&lt;=Parameters!$C$13),"Yes","")</f>
        <v/>
      </c>
      <c r="D33" s="75" t="str">
        <f>IF(AND(A33&gt;=Parameters!$B$14,A33&lt;=Parameters!$C$14),"Yes","")</f>
        <v>Yes</v>
      </c>
      <c r="E33" s="76" t="str">
        <f>IF(AND(A33&gt;=Parameters!$B$15,A33&lt;=Parameters!$C$15),"Yes","")</f>
        <v/>
      </c>
      <c r="G33" s="83" t="str">
        <f>IF($B33="Yes",G32-Parameters!$D$20,"")</f>
        <v/>
      </c>
      <c r="H33" s="84" t="str">
        <f>IF($B33="Yes",H32-Parameters!$D$21,"")</f>
        <v/>
      </c>
      <c r="I33" s="84" t="str">
        <f>IF($B33="Yes",I32-Parameters!$D$22,"")</f>
        <v/>
      </c>
      <c r="J33" s="85" t="str">
        <f t="shared" si="5"/>
        <v/>
      </c>
      <c r="L33" s="110">
        <f>IF(A33=Parameters!$C$13,$G$51*Parameters!$D$24,IF(D33="Yes",L32*(1-Parameters!$G$27),""))</f>
        <v>517.81408217055002</v>
      </c>
      <c r="M33" s="111">
        <f>IF(A33=Parameters!$C$13,$H$51*Parameters!$D$24,IF(D33="Yes",M32*(1-Parameters!$G$28),""))</f>
        <v>729.6471157857751</v>
      </c>
      <c r="N33" s="111">
        <f>IF(A33=Parameters!$C$13,$I$51*Parameters!$D$24,IF(D33="Yes",N32*(1-Parameters!$G$29),""))</f>
        <v>606.63728701439982</v>
      </c>
      <c r="O33" s="89">
        <f>IF(OR(A33&lt;Parameters!$C$13,A33&gt;Parameters!$C$14),"",SUM(L33:N33))</f>
        <v>1854.0984849707249</v>
      </c>
      <c r="Q33" s="74" t="str">
        <f>IF(A33=Parameters!$B$12-1,-Parameters!B30*'Scenario 2'!J33,"")</f>
        <v/>
      </c>
      <c r="R33" s="75" t="str">
        <f>IF(AND(A33&gt;=Parameters!$B$12,A33&lt;=Parameters!$C$12),-Parameters!$D$36,"")</f>
        <v/>
      </c>
      <c r="S33" s="23"/>
      <c r="T33" s="75" t="str">
        <f>IF(AND(A33&gt;=Parameters!$B$13,A33&lt;=Parameters!$C$13),-Parameters!$C$39,"")</f>
        <v/>
      </c>
      <c r="U33" s="75" t="str">
        <f>IF(A33=Parameters!C$13,-Parameters!$C$37*O33,"")</f>
        <v/>
      </c>
      <c r="V33" s="75">
        <f>IF(AND(A33&gt;=Parameters!$B$14,A33&lt;=Parameters!$C$14),-Parameters!$D$37,"")</f>
        <v>-250</v>
      </c>
      <c r="W33" s="93" t="str">
        <f t="shared" si="0"/>
        <v/>
      </c>
      <c r="X33" s="114" t="str">
        <f>IF(AND(A33&gt;=Parameters!$B$15,A33&lt;=Parameters!$C$15),($L$47*Parameters!$D$45+$M$47*Parameters!$D$46+$N$47*Parameters!$D$47)*0.5,"")</f>
        <v/>
      </c>
      <c r="Z33" s="99">
        <f>(1+Parameters!$B$52)^-A33</f>
        <v>0.9927151978951626</v>
      </c>
      <c r="AA33" s="94">
        <f t="shared" si="1"/>
        <v>-248.17879947379066</v>
      </c>
      <c r="AC33" s="99">
        <f t="shared" si="2"/>
        <v>0.83037457877615195</v>
      </c>
      <c r="AD33" s="94">
        <f t="shared" si="3"/>
        <v>-207.59364469403798</v>
      </c>
    </row>
    <row r="34" spans="1:30" x14ac:dyDescent="0.2">
      <c r="A34" s="74">
        <f t="shared" si="4"/>
        <v>29</v>
      </c>
      <c r="B34" s="74" t="str">
        <f>IF(AND(A34&gt;=Parameters!$B$12,A34&lt;=Parameters!$C$12),"Yes","")</f>
        <v/>
      </c>
      <c r="C34" s="75" t="str">
        <f>IF(AND(A34&gt;=Parameters!$B$13,A34&lt;=Parameters!$C$13),"Yes","")</f>
        <v/>
      </c>
      <c r="D34" s="75" t="str">
        <f>IF(AND(A34&gt;=Parameters!$B$14,A34&lt;=Parameters!$C$14),"Yes","")</f>
        <v>Yes</v>
      </c>
      <c r="E34" s="76" t="str">
        <f>IF(AND(A34&gt;=Parameters!$B$15,A34&lt;=Parameters!$C$15),"Yes","")</f>
        <v/>
      </c>
      <c r="G34" s="83" t="str">
        <f>IF($B34="Yes",G33-Parameters!$D$20,"")</f>
        <v/>
      </c>
      <c r="H34" s="84" t="str">
        <f>IF($B34="Yes",H33-Parameters!$D$21,"")</f>
        <v/>
      </c>
      <c r="I34" s="84" t="str">
        <f>IF($B34="Yes",I33-Parameters!$D$22,"")</f>
        <v/>
      </c>
      <c r="J34" s="85" t="str">
        <f t="shared" si="5"/>
        <v/>
      </c>
      <c r="L34" s="110">
        <f>IF(A34=Parameters!$C$13,$G$51*Parameters!$D$24,IF(D34="Yes",L33*(1-Parameters!$G$27),""))</f>
        <v>512.63594134884454</v>
      </c>
      <c r="M34" s="111">
        <f>IF(A34=Parameters!$C$13,$H$51*Parameters!$D$24,IF(D34="Yes",M33*(1-Parameters!$G$28),""))</f>
        <v>722.35064462791729</v>
      </c>
      <c r="N34" s="111">
        <f>IF(A34=Parameters!$C$13,$I$51*Parameters!$D$24,IF(D34="Yes",N33*(1-Parameters!$G$29),""))</f>
        <v>582.37179553382384</v>
      </c>
      <c r="O34" s="89">
        <f>IF(OR(A34&lt;Parameters!$C$13,A34&gt;Parameters!$C$14),"",SUM(L34:N34))</f>
        <v>1817.3583815105858</v>
      </c>
      <c r="Q34" s="74" t="str">
        <f>IF(A34=Parameters!$B$12-1,-Parameters!#REF!*'Scenario 2'!J34,"")</f>
        <v/>
      </c>
      <c r="R34" s="75" t="str">
        <f>IF(AND(A34&gt;=Parameters!$B$12,A34&lt;=Parameters!$C$12),-Parameters!$D$36,"")</f>
        <v/>
      </c>
      <c r="S34" s="23"/>
      <c r="T34" s="75" t="str">
        <f>IF(AND(A34&gt;=Parameters!$B$13,A34&lt;=Parameters!$C$13),-Parameters!$C$39,"")</f>
        <v/>
      </c>
      <c r="U34" s="75" t="str">
        <f>IF(A34=Parameters!C$13,-Parameters!$C$37*O34,"")</f>
        <v/>
      </c>
      <c r="V34" s="75">
        <f>IF(AND(A34&gt;=Parameters!$B$14,A34&lt;=Parameters!$C$14),-Parameters!$D$37,"")</f>
        <v>-250</v>
      </c>
      <c r="W34" s="93" t="str">
        <f t="shared" si="0"/>
        <v/>
      </c>
      <c r="X34" s="114" t="str">
        <f>IF(AND(A34&gt;=Parameters!$B$15,A34&lt;=Parameters!$C$15),($L$47*Parameters!$D$45+$M$47*Parameters!$D$46+$N$47*Parameters!$D$47)*0.5,"")</f>
        <v/>
      </c>
      <c r="Z34" s="99">
        <f>(1+Parameters!$B$52)^-A34</f>
        <v>0.99245601019145024</v>
      </c>
      <c r="AA34" s="94">
        <f t="shared" si="1"/>
        <v>-248.11400254786255</v>
      </c>
      <c r="AC34" s="99">
        <f t="shared" si="2"/>
        <v>0.82488038268272912</v>
      </c>
      <c r="AD34" s="94">
        <f t="shared" si="3"/>
        <v>-206.22009567068227</v>
      </c>
    </row>
    <row r="35" spans="1:30" x14ac:dyDescent="0.2">
      <c r="A35" s="74">
        <f t="shared" si="4"/>
        <v>30</v>
      </c>
      <c r="B35" s="74" t="str">
        <f>IF(AND(A35&gt;=Parameters!$B$12,A35&lt;=Parameters!$C$12),"Yes","")</f>
        <v/>
      </c>
      <c r="C35" s="75" t="str">
        <f>IF(AND(A35&gt;=Parameters!$B$13,A35&lt;=Parameters!$C$13),"Yes","")</f>
        <v/>
      </c>
      <c r="D35" s="75" t="str">
        <f>IF(AND(A35&gt;=Parameters!$B$14,A35&lt;=Parameters!$C$14),"Yes","")</f>
        <v>Yes</v>
      </c>
      <c r="E35" s="76" t="str">
        <f>IF(AND(A35&gt;=Parameters!$B$15,A35&lt;=Parameters!$C$15),"Yes","")</f>
        <v/>
      </c>
      <c r="G35" s="83" t="str">
        <f>IF($B35="Yes",G34-Parameters!$D$20,"")</f>
        <v/>
      </c>
      <c r="H35" s="84" t="str">
        <f>IF($B35="Yes",H34-Parameters!$D$21,"")</f>
        <v/>
      </c>
      <c r="I35" s="84" t="str">
        <f>IF($B35="Yes",I34-Parameters!$D$22,"")</f>
        <v/>
      </c>
      <c r="J35" s="85" t="str">
        <f t="shared" si="5"/>
        <v/>
      </c>
      <c r="L35" s="110">
        <f>IF(A35=Parameters!$C$13,$G$51*Parameters!$D$24,IF(D35="Yes",L34*(1-Parameters!$G$27),""))</f>
        <v>507.5095819353561</v>
      </c>
      <c r="M35" s="111">
        <f>IF(A35=Parameters!$C$13,$H$51*Parameters!$D$24,IF(D35="Yes",M34*(1-Parameters!$G$28),""))</f>
        <v>715.12713818163809</v>
      </c>
      <c r="N35" s="111">
        <f>IF(A35=Parameters!$C$13,$I$51*Parameters!$D$24,IF(D35="Yes",N34*(1-Parameters!$G$29),""))</f>
        <v>559.07692371247083</v>
      </c>
      <c r="O35" s="89">
        <f>IF(OR(A35&lt;Parameters!$C$13,A35&gt;Parameters!$C$14),"",SUM(L35:N35))</f>
        <v>1781.7136438294651</v>
      </c>
      <c r="Q35" s="74" t="str">
        <f>IF(A35=Parameters!$B$12-1,-Parameters!#REF!*'Scenario 2'!J35,"")</f>
        <v/>
      </c>
      <c r="R35" s="75" t="str">
        <f>IF(AND(A35&gt;=Parameters!$B$12,A35&lt;=Parameters!$C$12),-Parameters!$D$36,"")</f>
        <v/>
      </c>
      <c r="S35" s="23"/>
      <c r="T35" s="75" t="str">
        <f>IF(AND(A35&gt;=Parameters!$B$13,A35&lt;=Parameters!$C$13),-Parameters!$C$39,"")</f>
        <v/>
      </c>
      <c r="U35" s="75" t="str">
        <f>IF(A35=Parameters!C$13,-Parameters!$C$37*O35,"")</f>
        <v/>
      </c>
      <c r="V35" s="75">
        <f>IF(AND(A35&gt;=Parameters!$B$14,A35&lt;=Parameters!$C$14),-Parameters!$D$37,"")</f>
        <v>-250</v>
      </c>
      <c r="W35" s="93" t="str">
        <f t="shared" si="0"/>
        <v/>
      </c>
      <c r="X35" s="114" t="str">
        <f>IF(AND(A35&gt;=Parameters!$B$15,A35&lt;=Parameters!$C$15),($L$47*Parameters!$D$45+$M$47*Parameters!$D$46+$N$47*Parameters!$D$47)*0.5,"")</f>
        <v/>
      </c>
      <c r="Z35" s="99">
        <f>(1+Parameters!$B$52)^-A35</f>
        <v>0.99219689015897539</v>
      </c>
      <c r="AA35" s="94">
        <f t="shared" si="1"/>
        <v>-248.04922253974385</v>
      </c>
      <c r="AC35" s="99">
        <f t="shared" si="2"/>
        <v>0.81942253908790652</v>
      </c>
      <c r="AD35" s="94">
        <f t="shared" si="3"/>
        <v>-204.85563477197664</v>
      </c>
    </row>
    <row r="36" spans="1:30" x14ac:dyDescent="0.2">
      <c r="A36" s="74">
        <f t="shared" si="4"/>
        <v>31</v>
      </c>
      <c r="B36" s="74" t="str">
        <f>IF(AND(A36&gt;=Parameters!$B$12,A36&lt;=Parameters!$C$12),"Yes","")</f>
        <v/>
      </c>
      <c r="C36" s="75" t="str">
        <f>IF(AND(A36&gt;=Parameters!$B$13,A36&lt;=Parameters!$C$13),"Yes","")</f>
        <v/>
      </c>
      <c r="D36" s="75" t="str">
        <f>IF(AND(A36&gt;=Parameters!$B$14,A36&lt;=Parameters!$C$14),"Yes","")</f>
        <v>Yes</v>
      </c>
      <c r="E36" s="76" t="str">
        <f>IF(AND(A36&gt;=Parameters!$B$15,A36&lt;=Parameters!$C$15),"Yes","")</f>
        <v/>
      </c>
      <c r="G36" s="83" t="str">
        <f>IF($B36="Yes",G35-Parameters!$D$20,"")</f>
        <v/>
      </c>
      <c r="H36" s="84" t="str">
        <f>IF($B36="Yes",H35-Parameters!$D$21,"")</f>
        <v/>
      </c>
      <c r="I36" s="84" t="str">
        <f>IF($B36="Yes",I35-Parameters!$D$22,"")</f>
        <v/>
      </c>
      <c r="J36" s="85" t="str">
        <f t="shared" si="5"/>
        <v/>
      </c>
      <c r="L36" s="110">
        <f>IF(A36=Parameters!$C$13,$G$51*Parameters!$D$24,IF(D36="Yes",L35*(1-Parameters!$G$27),""))</f>
        <v>502.43448611600252</v>
      </c>
      <c r="M36" s="111">
        <f>IF(A36=Parameters!$C$13,$H$51*Parameters!$D$24,IF(D36="Yes",M35*(1-Parameters!$G$28),""))</f>
        <v>707.97586679982169</v>
      </c>
      <c r="N36" s="111">
        <f>IF(A36=Parameters!$C$13,$I$51*Parameters!$D$24,IF(D36="Yes",N35*(1-Parameters!$G$29),""))</f>
        <v>536.71384676397201</v>
      </c>
      <c r="O36" s="89">
        <f>IF(OR(A36&lt;Parameters!$C$13,A36&gt;Parameters!$C$14),"",SUM(L36:N36))</f>
        <v>1747.1241996797962</v>
      </c>
      <c r="Q36" s="74" t="str">
        <f>IF(A36=Parameters!$B$12-1,-Parameters!B49*'Scenario 2'!J36,"")</f>
        <v/>
      </c>
      <c r="R36" s="75" t="str">
        <f>IF(AND(A36&gt;=Parameters!$B$12,A36&lt;=Parameters!$C$12),-Parameters!$D$36,"")</f>
        <v/>
      </c>
      <c r="S36" s="23"/>
      <c r="T36" s="75" t="str">
        <f>IF(AND(A36&gt;=Parameters!$B$13,A36&lt;=Parameters!$C$13),-Parameters!$C$39,"")</f>
        <v/>
      </c>
      <c r="U36" s="75" t="str">
        <f>IF(A36=Parameters!C$13,-Parameters!$C$37*O36,"")</f>
        <v/>
      </c>
      <c r="V36" s="75">
        <f>IF(AND(A36&gt;=Parameters!$B$14,A36&lt;=Parameters!$C$14),-Parameters!$D$37,"")</f>
        <v>-250</v>
      </c>
      <c r="W36" s="93" t="str">
        <f t="shared" si="0"/>
        <v/>
      </c>
      <c r="X36" s="114" t="str">
        <f>IF(AND(A36&gt;=Parameters!$B$15,A36&lt;=Parameters!$C$15),($L$47*Parameters!$D$45+$M$47*Parameters!$D$46+$N$47*Parameters!$D$47)*0.5,"")</f>
        <v/>
      </c>
      <c r="Z36" s="99">
        <f>(1+Parameters!$B$52)^-A36</f>
        <v>0.99193783778006905</v>
      </c>
      <c r="AA36" s="94">
        <f t="shared" si="1"/>
        <v>-247.98445944501725</v>
      </c>
      <c r="AC36" s="99">
        <f t="shared" si="2"/>
        <v>0.81400080746438441</v>
      </c>
      <c r="AD36" s="94">
        <f t="shared" si="3"/>
        <v>-203.50020186609609</v>
      </c>
    </row>
    <row r="37" spans="1:30" x14ac:dyDescent="0.2">
      <c r="A37" s="74">
        <f t="shared" si="4"/>
        <v>32</v>
      </c>
      <c r="B37" s="74" t="str">
        <f>IF(AND(A37&gt;=Parameters!$B$12,A37&lt;=Parameters!$C$12),"Yes","")</f>
        <v/>
      </c>
      <c r="C37" s="75" t="str">
        <f>IF(AND(A37&gt;=Parameters!$B$13,A37&lt;=Parameters!$C$13),"Yes","")</f>
        <v/>
      </c>
      <c r="D37" s="75" t="str">
        <f>IF(AND(A37&gt;=Parameters!$B$14,A37&lt;=Parameters!$C$14),"Yes","")</f>
        <v>Yes</v>
      </c>
      <c r="E37" s="76" t="str">
        <f>IF(AND(A37&gt;=Parameters!$B$15,A37&lt;=Parameters!$C$15),"Yes","")</f>
        <v/>
      </c>
      <c r="G37" s="83" t="str">
        <f>IF($B37="Yes",G36-Parameters!$D$20,"")</f>
        <v/>
      </c>
      <c r="H37" s="84" t="str">
        <f>IF($B37="Yes",H36-Parameters!$D$21,"")</f>
        <v/>
      </c>
      <c r="I37" s="84" t="str">
        <f>IF($B37="Yes",I36-Parameters!$D$22,"")</f>
        <v/>
      </c>
      <c r="J37" s="85" t="str">
        <f t="shared" si="5"/>
        <v/>
      </c>
      <c r="L37" s="110">
        <f>IF(A37=Parameters!$C$13,$G$51*Parameters!$D$24,IF(D37="Yes",L36*(1-Parameters!$G$27),""))</f>
        <v>497.41014125484247</v>
      </c>
      <c r="M37" s="111">
        <f>IF(A37=Parameters!$C$13,$H$51*Parameters!$D$24,IF(D37="Yes",M36*(1-Parameters!$G$28),""))</f>
        <v>700.89610813182344</v>
      </c>
      <c r="N37" s="111">
        <f>IF(A37=Parameters!$C$13,$I$51*Parameters!$D$24,IF(D37="Yes",N36*(1-Parameters!$G$29),""))</f>
        <v>515.24529289341308</v>
      </c>
      <c r="O37" s="89">
        <f>IF(OR(A37&lt;Parameters!$C$13,A37&gt;Parameters!$C$14),"",SUM(L37:N37))</f>
        <v>1713.551542280079</v>
      </c>
      <c r="Q37" s="74" t="str">
        <f>IF(A37=Parameters!$B$12-1,-Parameters!B50*'Scenario 2'!J37,"")</f>
        <v/>
      </c>
      <c r="R37" s="75" t="str">
        <f>IF(AND(A37&gt;=Parameters!$B$12,A37&lt;=Parameters!$C$12),-Parameters!$D$36,"")</f>
        <v/>
      </c>
      <c r="S37" s="23"/>
      <c r="T37" s="75" t="str">
        <f>IF(AND(A37&gt;=Parameters!$B$13,A37&lt;=Parameters!$C$13),-Parameters!$C$39,"")</f>
        <v/>
      </c>
      <c r="U37" s="75" t="str">
        <f>IF(A37=Parameters!C$13,-Parameters!$C$37*O37,"")</f>
        <v/>
      </c>
      <c r="V37" s="75">
        <f>IF(AND(A37&gt;=Parameters!$B$14,A37&lt;=Parameters!$C$14),-Parameters!$D$37,"")</f>
        <v>-250</v>
      </c>
      <c r="W37" s="93" t="str">
        <f t="shared" si="0"/>
        <v/>
      </c>
      <c r="X37" s="114" t="str">
        <f>IF(AND(A37&gt;=Parameters!$B$15,A37&lt;=Parameters!$C$15),($L$47*Parameters!$D$45+$M$47*Parameters!$D$46+$N$47*Parameters!$D$47)*0.5,"")</f>
        <v/>
      </c>
      <c r="Z37" s="99">
        <f>(1+Parameters!$B$52)^-A37</f>
        <v>0.99167885303706882</v>
      </c>
      <c r="AA37" s="94">
        <f t="shared" si="1"/>
        <v>-247.91971325926721</v>
      </c>
      <c r="AC37" s="99">
        <f t="shared" si="2"/>
        <v>0.80861494887631724</v>
      </c>
      <c r="AD37" s="94">
        <f t="shared" si="3"/>
        <v>-202.15373721907932</v>
      </c>
    </row>
    <row r="38" spans="1:30" x14ac:dyDescent="0.2">
      <c r="A38" s="74">
        <f t="shared" si="4"/>
        <v>33</v>
      </c>
      <c r="B38" s="74" t="str">
        <f>IF(AND(A38&gt;=Parameters!$B$12,A38&lt;=Parameters!$C$12),"Yes","")</f>
        <v/>
      </c>
      <c r="C38" s="75" t="str">
        <f>IF(AND(A38&gt;=Parameters!$B$13,A38&lt;=Parameters!$C$13),"Yes","")</f>
        <v/>
      </c>
      <c r="D38" s="75" t="str">
        <f>IF(AND(A38&gt;=Parameters!$B$14,A38&lt;=Parameters!$C$14),"Yes","")</f>
        <v>Yes</v>
      </c>
      <c r="E38" s="76" t="str">
        <f>IF(AND(A38&gt;=Parameters!$B$15,A38&lt;=Parameters!$C$15),"Yes","")</f>
        <v/>
      </c>
      <c r="G38" s="83" t="str">
        <f>IF($B38="Yes",G37-Parameters!$D$20,"")</f>
        <v/>
      </c>
      <c r="H38" s="84" t="str">
        <f>IF($B38="Yes",H37-Parameters!$D$21,"")</f>
        <v/>
      </c>
      <c r="I38" s="84" t="str">
        <f>IF($B38="Yes",I37-Parameters!$D$22,"")</f>
        <v/>
      </c>
      <c r="J38" s="85" t="str">
        <f t="shared" si="5"/>
        <v/>
      </c>
      <c r="L38" s="110">
        <f>IF(A38=Parameters!$C$13,$G$51*Parameters!$D$24,IF(D38="Yes",L37*(1-Parameters!$G$27),""))</f>
        <v>492.43603984229406</v>
      </c>
      <c r="M38" s="111">
        <f>IF(A38=Parameters!$C$13,$H$51*Parameters!$D$24,IF(D38="Yes",M37*(1-Parameters!$G$28),""))</f>
        <v>693.88714705050518</v>
      </c>
      <c r="N38" s="111">
        <f>IF(A38=Parameters!$C$13,$I$51*Parameters!$D$24,IF(D38="Yes",N37*(1-Parameters!$G$29),""))</f>
        <v>494.63548117767652</v>
      </c>
      <c r="O38" s="89">
        <f>IF(OR(A38&lt;Parameters!$C$13,A38&gt;Parameters!$C$14),"",SUM(L38:N38))</f>
        <v>1680.9586680704756</v>
      </c>
      <c r="Q38" s="74" t="str">
        <f>IF(A38=Parameters!$B$12-1,-Parameters!B51*'Scenario 2'!J38,"")</f>
        <v/>
      </c>
      <c r="R38" s="75" t="str">
        <f>IF(AND(A38&gt;=Parameters!$B$12,A38&lt;=Parameters!$C$12),-Parameters!$D$36,"")</f>
        <v/>
      </c>
      <c r="S38" s="23"/>
      <c r="T38" s="75" t="str">
        <f>IF(AND(A38&gt;=Parameters!$B$13,A38&lt;=Parameters!$C$13),-Parameters!$C$39,"")</f>
        <v/>
      </c>
      <c r="U38" s="75" t="str">
        <f>IF(A38=Parameters!C$13,-Parameters!$C$37*O38,"")</f>
        <v/>
      </c>
      <c r="V38" s="75">
        <f>IF(AND(A38&gt;=Parameters!$B$14,A38&lt;=Parameters!$C$14),-Parameters!$D$37,"")</f>
        <v>-250</v>
      </c>
      <c r="W38" s="93" t="str">
        <f t="shared" si="0"/>
        <v/>
      </c>
      <c r="X38" s="114" t="str">
        <f>IF(AND(A38&gt;=Parameters!$B$15,A38&lt;=Parameters!$C$15),($L$47*Parameters!$D$45+$M$47*Parameters!$D$46+$N$47*Parameters!$D$47)*0.5,"")</f>
        <v/>
      </c>
      <c r="Z38" s="99">
        <f>(1+Parameters!$B$52)^-A38</f>
        <v>0.99141993591231481</v>
      </c>
      <c r="AA38" s="94">
        <f t="shared" si="1"/>
        <v>-247.85498397807871</v>
      </c>
      <c r="AC38" s="99">
        <f t="shared" si="2"/>
        <v>0.80326472596878595</v>
      </c>
      <c r="AD38" s="94">
        <f t="shared" si="3"/>
        <v>-200.81618149219648</v>
      </c>
    </row>
    <row r="39" spans="1:30" x14ac:dyDescent="0.2">
      <c r="A39" s="74">
        <f t="shared" si="4"/>
        <v>34</v>
      </c>
      <c r="B39" s="74" t="str">
        <f>IF(AND(A39&gt;=Parameters!$B$12,A39&lt;=Parameters!$C$12),"Yes","")</f>
        <v/>
      </c>
      <c r="C39" s="75" t="str">
        <f>IF(AND(A39&gt;=Parameters!$B$13,A39&lt;=Parameters!$C$13),"Yes","")</f>
        <v/>
      </c>
      <c r="D39" s="75" t="str">
        <f>IF(AND(A39&gt;=Parameters!$B$14,A39&lt;=Parameters!$C$14),"Yes","")</f>
        <v>Yes</v>
      </c>
      <c r="E39" s="76" t="str">
        <f>IF(AND(A39&gt;=Parameters!$B$15,A39&lt;=Parameters!$C$15),"Yes","")</f>
        <v/>
      </c>
      <c r="G39" s="83" t="str">
        <f>IF($B39="Yes",G38-Parameters!$D$20,"")</f>
        <v/>
      </c>
      <c r="H39" s="84" t="str">
        <f>IF($B39="Yes",H38-Parameters!$D$21,"")</f>
        <v/>
      </c>
      <c r="I39" s="84" t="str">
        <f>IF($B39="Yes",I38-Parameters!$D$22,"")</f>
        <v/>
      </c>
      <c r="J39" s="85" t="str">
        <f t="shared" si="5"/>
        <v/>
      </c>
      <c r="L39" s="110">
        <f>IF(A39=Parameters!$C$13,$G$51*Parameters!$D$24,IF(D39="Yes",L38*(1-Parameters!$G$27),""))</f>
        <v>487.51167944387112</v>
      </c>
      <c r="M39" s="111">
        <f>IF(A39=Parameters!$C$13,$H$51*Parameters!$D$24,IF(D39="Yes",M38*(1-Parameters!$G$28),""))</f>
        <v>686.94827558000009</v>
      </c>
      <c r="N39" s="111">
        <f>IF(A39=Parameters!$C$13,$I$51*Parameters!$D$24,IF(D39="Yes",N38*(1-Parameters!$G$29),""))</f>
        <v>474.85006193056944</v>
      </c>
      <c r="O39" s="89">
        <f>IF(OR(A39&lt;Parameters!$C$13,A39&gt;Parameters!$C$14),"",SUM(L39:N39))</f>
        <v>1649.3100169544407</v>
      </c>
      <c r="Q39" s="74" t="str">
        <f>IF(A39=Parameters!$B$12-1,-Parameters!B52*'Scenario 2'!J39,"")</f>
        <v/>
      </c>
      <c r="R39" s="75" t="str">
        <f>IF(AND(A39&gt;=Parameters!$B$12,A39&lt;=Parameters!$C$12),-Parameters!$D$36,"")</f>
        <v/>
      </c>
      <c r="S39" s="23"/>
      <c r="T39" s="75" t="str">
        <f>IF(AND(A39&gt;=Parameters!$B$13,A39&lt;=Parameters!$C$13),-Parameters!$C$39,"")</f>
        <v/>
      </c>
      <c r="U39" s="75" t="str">
        <f>IF(A39=Parameters!C$13,-Parameters!$C$37*O39,"")</f>
        <v/>
      </c>
      <c r="V39" s="75">
        <f>IF(AND(A39&gt;=Parameters!$B$14,A39&lt;=Parameters!$C$14),-Parameters!$D$37,"")</f>
        <v>-250</v>
      </c>
      <c r="W39" s="93" t="str">
        <f t="shared" si="0"/>
        <v/>
      </c>
      <c r="X39" s="114" t="str">
        <f>IF(AND(A39&gt;=Parameters!$B$15,A39&lt;=Parameters!$C$15),($L$47*Parameters!$D$45+$M$47*Parameters!$D$46+$N$47*Parameters!$D$47)*0.5,"")</f>
        <v/>
      </c>
      <c r="Z39" s="99">
        <f>(1+Parameters!$B$52)^-A39</f>
        <v>0.99116108638815248</v>
      </c>
      <c r="AA39" s="94">
        <f t="shared" si="1"/>
        <v>-247.79027159703813</v>
      </c>
      <c r="AC39" s="99">
        <f t="shared" si="2"/>
        <v>0.79794990295733648</v>
      </c>
      <c r="AD39" s="94">
        <f t="shared" si="3"/>
        <v>-199.48747573933412</v>
      </c>
    </row>
    <row r="40" spans="1:30" x14ac:dyDescent="0.2">
      <c r="A40" s="74">
        <f t="shared" si="4"/>
        <v>35</v>
      </c>
      <c r="B40" s="74" t="str">
        <f>IF(AND(A40&gt;=Parameters!$B$12,A40&lt;=Parameters!$C$12),"Yes","")</f>
        <v/>
      </c>
      <c r="C40" s="75" t="str">
        <f>IF(AND(A40&gt;=Parameters!$B$13,A40&lt;=Parameters!$C$13),"Yes","")</f>
        <v/>
      </c>
      <c r="D40" s="75" t="str">
        <f>IF(AND(A40&gt;=Parameters!$B$14,A40&lt;=Parameters!$C$14),"Yes","")</f>
        <v>Yes</v>
      </c>
      <c r="E40" s="76" t="str">
        <f>IF(AND(A40&gt;=Parameters!$B$15,A40&lt;=Parameters!$C$15),"Yes","")</f>
        <v/>
      </c>
      <c r="G40" s="83" t="str">
        <f>IF($B40="Yes",G39-Parameters!$D$20,"")</f>
        <v/>
      </c>
      <c r="H40" s="84" t="str">
        <f>IF($B40="Yes",H39-Parameters!$D$21,"")</f>
        <v/>
      </c>
      <c r="I40" s="84" t="str">
        <f>IF($B40="Yes",I39-Parameters!$D$22,"")</f>
        <v/>
      </c>
      <c r="J40" s="85" t="str">
        <f t="shared" si="5"/>
        <v/>
      </c>
      <c r="L40" s="110">
        <f>IF(A40=Parameters!$C$13,$G$51*Parameters!$D$24,IF(D40="Yes",L39*(1-Parameters!$G$27),""))</f>
        <v>482.63656264943239</v>
      </c>
      <c r="M40" s="111">
        <f>IF(A40=Parameters!$C$13,$H$51*Parameters!$D$24,IF(D40="Yes",M39*(1-Parameters!$G$28),""))</f>
        <v>680.07879282420004</v>
      </c>
      <c r="N40" s="111">
        <f>IF(A40=Parameters!$C$13,$I$51*Parameters!$D$24,IF(D40="Yes",N39*(1-Parameters!$G$29),""))</f>
        <v>455.85605945334663</v>
      </c>
      <c r="O40" s="89">
        <f>IF(OR(A40&lt;Parameters!$C$13,A40&gt;Parameters!$C$14),"",SUM(L40:N40))</f>
        <v>1618.5714149269791</v>
      </c>
      <c r="Q40" s="74" t="str">
        <f>IF(A40=Parameters!$B$12-1,-Parameters!B53*'Scenario 2'!J40,"")</f>
        <v/>
      </c>
      <c r="R40" s="75" t="str">
        <f>IF(AND(A40&gt;=Parameters!$B$12,A40&lt;=Parameters!$C$12),-Parameters!$D$36,"")</f>
        <v/>
      </c>
      <c r="S40" s="23"/>
      <c r="T40" s="75" t="str">
        <f>IF(AND(A40&gt;=Parameters!$B$13,A40&lt;=Parameters!$C$13),-Parameters!$C$39,"")</f>
        <v/>
      </c>
      <c r="U40" s="75" t="str">
        <f>IF(A40=Parameters!C$13,-Parameters!$C$37*O40,"")</f>
        <v/>
      </c>
      <c r="V40" s="75">
        <f>IF(AND(A40&gt;=Parameters!$B$14,A40&lt;=Parameters!$C$14),-Parameters!$D$37,"")</f>
        <v>-250</v>
      </c>
      <c r="W40" s="93" t="str">
        <f t="shared" si="0"/>
        <v/>
      </c>
      <c r="X40" s="114" t="str">
        <f>IF(AND(A40&gt;=Parameters!$B$15,A40&lt;=Parameters!$C$15),($L$47*Parameters!$D$45+$M$47*Parameters!$D$46+$N$47*Parameters!$D$47)*0.5,"")</f>
        <v/>
      </c>
      <c r="Z40" s="99">
        <f>(1+Parameters!$B$52)^-A40</f>
        <v>0.99090230444693217</v>
      </c>
      <c r="AA40" s="94">
        <f t="shared" si="1"/>
        <v>-247.72557611173303</v>
      </c>
      <c r="AC40" s="99">
        <f t="shared" si="2"/>
        <v>0.79267024561758848</v>
      </c>
      <c r="AD40" s="94">
        <f t="shared" si="3"/>
        <v>-198.16756140439711</v>
      </c>
    </row>
    <row r="41" spans="1:30" x14ac:dyDescent="0.2">
      <c r="A41" s="74">
        <f t="shared" si="4"/>
        <v>36</v>
      </c>
      <c r="B41" s="74" t="str">
        <f>IF(AND(A41&gt;=Parameters!$B$12,A41&lt;=Parameters!$C$12),"Yes","")</f>
        <v/>
      </c>
      <c r="C41" s="75" t="str">
        <f>IF(AND(A41&gt;=Parameters!$B$13,A41&lt;=Parameters!$C$13),"Yes","")</f>
        <v/>
      </c>
      <c r="D41" s="75" t="str">
        <f>IF(AND(A41&gt;=Parameters!$B$14,A41&lt;=Parameters!$C$14),"Yes","")</f>
        <v>Yes</v>
      </c>
      <c r="E41" s="76" t="str">
        <f>IF(AND(A41&gt;=Parameters!$B$15,A41&lt;=Parameters!$C$15),"Yes","")</f>
        <v/>
      </c>
      <c r="G41" s="83" t="str">
        <f>IF($B41="Yes",G40-Parameters!$D$20,"")</f>
        <v/>
      </c>
      <c r="H41" s="84" t="str">
        <f>IF($B41="Yes",H40-Parameters!$D$21,"")</f>
        <v/>
      </c>
      <c r="I41" s="84" t="str">
        <f>IF($B41="Yes",I40-Parameters!$D$22,"")</f>
        <v/>
      </c>
      <c r="J41" s="85" t="str">
        <f t="shared" si="5"/>
        <v/>
      </c>
      <c r="L41" s="110">
        <f>IF(A41=Parameters!$C$13,$G$51*Parameters!$D$24,IF(D41="Yes",L40*(1-Parameters!$G$27),""))</f>
        <v>477.81019702293804</v>
      </c>
      <c r="M41" s="111">
        <f>IF(A41=Parameters!$C$13,$H$51*Parameters!$D$24,IF(D41="Yes",M40*(1-Parameters!$G$28),""))</f>
        <v>673.27800489595802</v>
      </c>
      <c r="N41" s="111">
        <f>IF(A41=Parameters!$C$13,$I$51*Parameters!$D$24,IF(D41="Yes",N40*(1-Parameters!$G$29),""))</f>
        <v>437.62181707521273</v>
      </c>
      <c r="O41" s="89">
        <f>IF(OR(A41&lt;Parameters!$C$13,A41&gt;Parameters!$C$14),"",SUM(L41:N41))</f>
        <v>1588.7100189941089</v>
      </c>
      <c r="Q41" s="74" t="str">
        <f>IF(A41=Parameters!$B$12-1,-Parameters!B54*'Scenario 2'!J41,"")</f>
        <v/>
      </c>
      <c r="R41" s="75" t="str">
        <f>IF(AND(A41&gt;=Parameters!$B$12,A41&lt;=Parameters!$C$12),-Parameters!$D$36,"")</f>
        <v/>
      </c>
      <c r="S41" s="23"/>
      <c r="T41" s="75" t="str">
        <f>IF(AND(A41&gt;=Parameters!$B$13,A41&lt;=Parameters!$C$13),-Parameters!$C$39,"")</f>
        <v/>
      </c>
      <c r="U41" s="75" t="str">
        <f>IF(A41=Parameters!C$13,-Parameters!$C$37*O41,"")</f>
        <v/>
      </c>
      <c r="V41" s="75">
        <f>IF(AND(A41&gt;=Parameters!$B$14,A41&lt;=Parameters!$C$14),-Parameters!$D$37,"")</f>
        <v>-250</v>
      </c>
      <c r="W41" s="93" t="str">
        <f t="shared" si="0"/>
        <v/>
      </c>
      <c r="X41" s="114" t="str">
        <f>IF(AND(A41&gt;=Parameters!$B$15,A41&lt;=Parameters!$C$15),($L$47*Parameters!$D$45+$M$47*Parameters!$D$46+$N$47*Parameters!$D$47)*0.5,"")</f>
        <v/>
      </c>
      <c r="Z41" s="99">
        <f>(1+Parameters!$B$52)^-A41</f>
        <v>0.99064359007100933</v>
      </c>
      <c r="AA41" s="94">
        <f t="shared" si="1"/>
        <v>-247.66089751775235</v>
      </c>
      <c r="AC41" s="99">
        <f t="shared" si="2"/>
        <v>0.7874255212749145</v>
      </c>
      <c r="AD41" s="94">
        <f t="shared" si="3"/>
        <v>-196.85638031872861</v>
      </c>
    </row>
    <row r="42" spans="1:30" x14ac:dyDescent="0.2">
      <c r="A42" s="74">
        <f t="shared" si="4"/>
        <v>37</v>
      </c>
      <c r="B42" s="74" t="str">
        <f>IF(AND(A42&gt;=Parameters!$B$12,A42&lt;=Parameters!$C$12),"Yes","")</f>
        <v/>
      </c>
      <c r="C42" s="75" t="str">
        <f>IF(AND(A42&gt;=Parameters!$B$13,A42&lt;=Parameters!$C$13),"Yes","")</f>
        <v/>
      </c>
      <c r="D42" s="75" t="str">
        <f>IF(AND(A42&gt;=Parameters!$B$14,A42&lt;=Parameters!$C$14),"Yes","")</f>
        <v>Yes</v>
      </c>
      <c r="E42" s="76" t="str">
        <f>IF(AND(A42&gt;=Parameters!$B$15,A42&lt;=Parameters!$C$15),"Yes","")</f>
        <v/>
      </c>
      <c r="G42" s="83" t="str">
        <f>IF($B42="Yes",G41-Parameters!$D$20,"")</f>
        <v/>
      </c>
      <c r="H42" s="84" t="str">
        <f>IF($B42="Yes",H41-Parameters!$D$21,"")</f>
        <v/>
      </c>
      <c r="I42" s="84" t="str">
        <f>IF($B42="Yes",I41-Parameters!$D$22,"")</f>
        <v/>
      </c>
      <c r="J42" s="85" t="str">
        <f t="shared" si="5"/>
        <v/>
      </c>
      <c r="L42" s="110">
        <f>IF(A42=Parameters!$C$13,$G$51*Parameters!$D$24,IF(D42="Yes",L41*(1-Parameters!$G$27),""))</f>
        <v>473.03209505270866</v>
      </c>
      <c r="M42" s="111">
        <f>IF(A42=Parameters!$C$13,$H$51*Parameters!$D$24,IF(D42="Yes",M41*(1-Parameters!$G$28),""))</f>
        <v>666.54522484699839</v>
      </c>
      <c r="N42" s="111">
        <f>IF(A42=Parameters!$C$13,$I$51*Parameters!$D$24,IF(D42="Yes",N41*(1-Parameters!$G$29),""))</f>
        <v>420.11694439220423</v>
      </c>
      <c r="O42" s="89">
        <f>IF(OR(A42&lt;Parameters!$C$13,A42&gt;Parameters!$C$14),"",SUM(L42:N42))</f>
        <v>1559.6942642919114</v>
      </c>
      <c r="Q42" s="74" t="str">
        <f>IF(A42=Parameters!$B$12-1,-Parameters!B55*'Scenario 2'!J42,"")</f>
        <v/>
      </c>
      <c r="R42" s="75" t="str">
        <f>IF(AND(A42&gt;=Parameters!$B$12,A42&lt;=Parameters!$C$12),-Parameters!$D$36,"")</f>
        <v/>
      </c>
      <c r="S42" s="23"/>
      <c r="T42" s="75" t="str">
        <f>IF(AND(A42&gt;=Parameters!$B$13,A42&lt;=Parameters!$C$13),-Parameters!$C$39,"")</f>
        <v/>
      </c>
      <c r="U42" s="75" t="str">
        <f>IF(A42=Parameters!C$13,-Parameters!$C$37*O42,"")</f>
        <v/>
      </c>
      <c r="V42" s="75">
        <f>IF(AND(A42&gt;=Parameters!$B$14,A42&lt;=Parameters!$C$14),-Parameters!$D$37,"")</f>
        <v>-250</v>
      </c>
      <c r="W42" s="93" t="str">
        <f t="shared" si="0"/>
        <v/>
      </c>
      <c r="X42" s="114" t="str">
        <f>IF(AND(A42&gt;=Parameters!$B$15,A42&lt;=Parameters!$C$15),($L$47*Parameters!$D$45+$M$47*Parameters!$D$46+$N$47*Parameters!$D$47)*0.5,"")</f>
        <v/>
      </c>
      <c r="Z42" s="99">
        <f>(1+Parameters!$B$52)^-A42</f>
        <v>0.99038494324274218</v>
      </c>
      <c r="AA42" s="94">
        <f t="shared" si="1"/>
        <v>-247.59623581068556</v>
      </c>
      <c r="AC42" s="99">
        <f t="shared" si="2"/>
        <v>0.78221549879418495</v>
      </c>
      <c r="AD42" s="94">
        <f t="shared" si="3"/>
        <v>-195.55387469854622</v>
      </c>
    </row>
    <row r="43" spans="1:30" x14ac:dyDescent="0.2">
      <c r="A43" s="74">
        <f t="shared" si="4"/>
        <v>38</v>
      </c>
      <c r="B43" s="74" t="str">
        <f>IF(AND(A43&gt;=Parameters!$B$12,A43&lt;=Parameters!$C$12),"Yes","")</f>
        <v/>
      </c>
      <c r="C43" s="75" t="str">
        <f>IF(AND(A43&gt;=Parameters!$B$13,A43&lt;=Parameters!$C$13),"Yes","")</f>
        <v/>
      </c>
      <c r="D43" s="75" t="str">
        <f>IF(AND(A43&gt;=Parameters!$B$14,A43&lt;=Parameters!$C$14),"Yes","")</f>
        <v>Yes</v>
      </c>
      <c r="E43" s="76" t="str">
        <f>IF(AND(A43&gt;=Parameters!$B$15,A43&lt;=Parameters!$C$15),"Yes","")</f>
        <v/>
      </c>
      <c r="G43" s="83" t="str">
        <f>IF($B43="Yes",G42-Parameters!$D$20,"")</f>
        <v/>
      </c>
      <c r="H43" s="84" t="str">
        <f>IF($B43="Yes",H42-Parameters!$D$21,"")</f>
        <v/>
      </c>
      <c r="I43" s="84" t="str">
        <f>IF($B43="Yes",I42-Parameters!$D$22,"")</f>
        <v/>
      </c>
      <c r="J43" s="85" t="str">
        <f t="shared" si="5"/>
        <v/>
      </c>
      <c r="L43" s="110">
        <f>IF(A43=Parameters!$C$13,$G$51*Parameters!$D$24,IF(D43="Yes",L42*(1-Parameters!$G$27),""))</f>
        <v>468.30177410218158</v>
      </c>
      <c r="M43" s="111">
        <f>IF(A43=Parameters!$C$13,$H$51*Parameters!$D$24,IF(D43="Yes",M42*(1-Parameters!$G$28),""))</f>
        <v>659.87977259852835</v>
      </c>
      <c r="N43" s="111">
        <f>IF(A43=Parameters!$C$13,$I$51*Parameters!$D$24,IF(D43="Yes",N42*(1-Parameters!$G$29),""))</f>
        <v>403.31226661651607</v>
      </c>
      <c r="O43" s="89">
        <f>IF(OR(A43&lt;Parameters!$C$13,A43&gt;Parameters!$C$14),"",SUM(L43:N43))</f>
        <v>1531.4938133172261</v>
      </c>
      <c r="Q43" s="74" t="str">
        <f>IF(A43=Parameters!$B$12-1,-Parameters!B56*'Scenario 2'!J43,"")</f>
        <v/>
      </c>
      <c r="R43" s="75" t="str">
        <f>IF(AND(A43&gt;=Parameters!$B$12,A43&lt;=Parameters!$C$12),-Parameters!$D$36,"")</f>
        <v/>
      </c>
      <c r="S43" s="23"/>
      <c r="T43" s="75" t="str">
        <f>IF(AND(A43&gt;=Parameters!$B$13,A43&lt;=Parameters!$C$13),-Parameters!$C$39,"")</f>
        <v/>
      </c>
      <c r="U43" s="75" t="str">
        <f>IF(A43=Parameters!C$13,-Parameters!$C$37*O43,"")</f>
        <v/>
      </c>
      <c r="V43" s="75">
        <f>IF(AND(A43&gt;=Parameters!$B$14,A43&lt;=Parameters!$C$14),-Parameters!$D$37,"")</f>
        <v>-250</v>
      </c>
      <c r="W43" s="93" t="str">
        <f t="shared" si="0"/>
        <v/>
      </c>
      <c r="X43" s="114" t="str">
        <f>IF(AND(A43&gt;=Parameters!$B$15,A43&lt;=Parameters!$C$15),($L$47*Parameters!$D$45+$M$47*Parameters!$D$46+$N$47*Parameters!$D$47)*0.5,"")</f>
        <v/>
      </c>
      <c r="Z43" s="99">
        <f>(1+Parameters!$B$52)^-A43</f>
        <v>0.99012636394449605</v>
      </c>
      <c r="AA43" s="94">
        <f t="shared" si="1"/>
        <v>-247.531590986124</v>
      </c>
      <c r="AC43" s="99">
        <f t="shared" si="2"/>
        <v>0.77703994856958136</v>
      </c>
      <c r="AD43" s="94">
        <f t="shared" si="3"/>
        <v>-194.25998714239535</v>
      </c>
    </row>
    <row r="44" spans="1:30" x14ac:dyDescent="0.2">
      <c r="A44" s="74">
        <f t="shared" si="4"/>
        <v>39</v>
      </c>
      <c r="B44" s="74" t="str">
        <f>IF(AND(A44&gt;=Parameters!$B$12,A44&lt;=Parameters!$C$12),"Yes","")</f>
        <v/>
      </c>
      <c r="C44" s="75" t="str">
        <f>IF(AND(A44&gt;=Parameters!$B$13,A44&lt;=Parameters!$C$13),"Yes","")</f>
        <v/>
      </c>
      <c r="D44" s="75" t="str">
        <f>IF(AND(A44&gt;=Parameters!$B$14,A44&lt;=Parameters!$C$14),"Yes","")</f>
        <v>Yes</v>
      </c>
      <c r="E44" s="76" t="str">
        <f>IF(AND(A44&gt;=Parameters!$B$15,A44&lt;=Parameters!$C$15),"Yes","")</f>
        <v/>
      </c>
      <c r="G44" s="83" t="str">
        <f>IF($B44="Yes",G43-Parameters!$D$20,"")</f>
        <v/>
      </c>
      <c r="H44" s="84" t="str">
        <f>IF($B44="Yes",H43-Parameters!$D$21,"")</f>
        <v/>
      </c>
      <c r="I44" s="84" t="str">
        <f>IF($B44="Yes",I43-Parameters!$D$22,"")</f>
        <v/>
      </c>
      <c r="J44" s="85" t="str">
        <f t="shared" si="5"/>
        <v/>
      </c>
      <c r="L44" s="110">
        <f>IF(A44=Parameters!$C$13,$G$51*Parameters!$D$24,IF(D44="Yes",L43*(1-Parameters!$G$27),""))</f>
        <v>463.61875636115974</v>
      </c>
      <c r="M44" s="111">
        <f>IF(A44=Parameters!$C$13,$H$51*Parameters!$D$24,IF(D44="Yes",M43*(1-Parameters!$G$28),""))</f>
        <v>653.28097487254308</v>
      </c>
      <c r="N44" s="111">
        <f>IF(A44=Parameters!$C$13,$I$51*Parameters!$D$24,IF(D44="Yes",N43*(1-Parameters!$G$29),""))</f>
        <v>387.17977595185539</v>
      </c>
      <c r="O44" s="89">
        <f>IF(OR(A44&lt;Parameters!$C$13,A44&gt;Parameters!$C$14),"",SUM(L44:N44))</f>
        <v>1504.0795071855582</v>
      </c>
      <c r="Q44" s="74" t="str">
        <f>IF(A44=Parameters!$B$12-1,-Parameters!B57*'Scenario 2'!J44,"")</f>
        <v/>
      </c>
      <c r="R44" s="75" t="str">
        <f>IF(AND(A44&gt;=Parameters!$B$12,A44&lt;=Parameters!$C$12),-Parameters!$D$36,"")</f>
        <v/>
      </c>
      <c r="S44" s="23"/>
      <c r="T44" s="75" t="str">
        <f>IF(AND(A44&gt;=Parameters!$B$13,A44&lt;=Parameters!$C$13),-Parameters!$C$39,"")</f>
        <v/>
      </c>
      <c r="U44" s="75" t="str">
        <f>IF(A44=Parameters!C$13,-Parameters!$C$37*O44,"")</f>
        <v/>
      </c>
      <c r="V44" s="75">
        <f>IF(AND(A44&gt;=Parameters!$B$14,A44&lt;=Parameters!$C$14),-Parameters!$D$37,"")</f>
        <v>-250</v>
      </c>
      <c r="W44" s="93" t="str">
        <f t="shared" si="0"/>
        <v/>
      </c>
      <c r="X44" s="114" t="str">
        <f>IF(AND(A44&gt;=Parameters!$B$15,A44&lt;=Parameters!$C$15),($L$47*Parameters!$D$45+$M$47*Parameters!$D$46+$N$47*Parameters!$D$47)*0.5,"")</f>
        <v/>
      </c>
      <c r="Z44" s="99">
        <f>(1+Parameters!$B$52)^-A44</f>
        <v>0.98986785215863804</v>
      </c>
      <c r="AA44" s="94">
        <f t="shared" si="1"/>
        <v>-247.4669630396595</v>
      </c>
      <c r="AC44" s="99">
        <f t="shared" si="2"/>
        <v>0.77189864251447915</v>
      </c>
      <c r="AD44" s="94">
        <f t="shared" si="3"/>
        <v>-192.9746606286198</v>
      </c>
    </row>
    <row r="45" spans="1:30" x14ac:dyDescent="0.2">
      <c r="A45" s="74">
        <f t="shared" si="4"/>
        <v>40</v>
      </c>
      <c r="B45" s="74" t="str">
        <f>IF(AND(A45&gt;=Parameters!$B$12,A45&lt;=Parameters!$C$12),"Yes","")</f>
        <v/>
      </c>
      <c r="C45" s="75" t="str">
        <f>IF(AND(A45&gt;=Parameters!$B$13,A45&lt;=Parameters!$C$13),"Yes","")</f>
        <v/>
      </c>
      <c r="D45" s="75" t="str">
        <f>IF(AND(A45&gt;=Parameters!$B$14,A45&lt;=Parameters!$C$14),"Yes","")</f>
        <v>Yes</v>
      </c>
      <c r="E45" s="76" t="str">
        <f>IF(AND(A45&gt;=Parameters!$B$15,A45&lt;=Parameters!$C$15),"Yes","")</f>
        <v/>
      </c>
      <c r="G45" s="83" t="str">
        <f>IF($B45="Yes",G44-Parameters!$D$20,"")</f>
        <v/>
      </c>
      <c r="H45" s="84" t="str">
        <f>IF($B45="Yes",H44-Parameters!$D$21,"")</f>
        <v/>
      </c>
      <c r="I45" s="84" t="str">
        <f>IF($B45="Yes",I44-Parameters!$D$22,"")</f>
        <v/>
      </c>
      <c r="J45" s="85" t="str">
        <f t="shared" si="5"/>
        <v/>
      </c>
      <c r="L45" s="110">
        <f>IF(A45=Parameters!$C$13,$G$51*Parameters!$D$24,IF(D45="Yes",L44*(1-Parameters!$G$27),""))</f>
        <v>458.98256879754814</v>
      </c>
      <c r="M45" s="111">
        <f>IF(A45=Parameters!$C$13,$H$51*Parameters!$D$24,IF(D45="Yes",M44*(1-Parameters!$G$28),""))</f>
        <v>646.74816512381767</v>
      </c>
      <c r="N45" s="111">
        <f>IF(A45=Parameters!$C$13,$I$51*Parameters!$D$24,IF(D45="Yes",N44*(1-Parameters!$G$29),""))</f>
        <v>371.69258491378116</v>
      </c>
      <c r="O45" s="89">
        <f>IF(OR(A45&lt;Parameters!$C$13,A45&gt;Parameters!$C$14),"",SUM(L45:N45))</f>
        <v>1477.4233188351468</v>
      </c>
      <c r="Q45" s="74" t="str">
        <f>IF(A45=Parameters!$B$12-1,-Parameters!B58*'Scenario 2'!J45,"")</f>
        <v/>
      </c>
      <c r="R45" s="75" t="str">
        <f>IF(AND(A45&gt;=Parameters!$B$12,A45&lt;=Parameters!$C$12),-Parameters!$D$36,"")</f>
        <v/>
      </c>
      <c r="S45" s="23"/>
      <c r="T45" s="75" t="str">
        <f>IF(AND(A45&gt;=Parameters!$B$13,A45&lt;=Parameters!$C$13),-Parameters!$C$39,"")</f>
        <v/>
      </c>
      <c r="U45" s="75" t="str">
        <f>IF(A45=Parameters!C$13,-Parameters!$C$37*O45,"")</f>
        <v/>
      </c>
      <c r="V45" s="75">
        <f>IF(AND(A45&gt;=Parameters!$B$14,A45&lt;=Parameters!$C$14),-Parameters!$D$37,"")</f>
        <v>-250</v>
      </c>
      <c r="W45" s="93" t="str">
        <f t="shared" si="0"/>
        <v/>
      </c>
      <c r="X45" s="114" t="str">
        <f>IF(AND(A45&gt;=Parameters!$B$15,A45&lt;=Parameters!$C$15),($L$47*Parameters!$D$45+$M$47*Parameters!$D$46+$N$47*Parameters!$D$47)*0.5,"")</f>
        <v/>
      </c>
      <c r="Z45" s="99">
        <f>(1+Parameters!$B$52)^-A45</f>
        <v>0.98960940786754281</v>
      </c>
      <c r="AA45" s="94">
        <f t="shared" si="1"/>
        <v>-247.4023519668857</v>
      </c>
      <c r="AC45" s="99">
        <f t="shared" si="2"/>
        <v>0.7667913540513952</v>
      </c>
      <c r="AD45" s="94">
        <f t="shared" si="3"/>
        <v>-191.69783851284879</v>
      </c>
    </row>
    <row r="46" spans="1:30" x14ac:dyDescent="0.2">
      <c r="A46" s="74">
        <f t="shared" si="4"/>
        <v>41</v>
      </c>
      <c r="B46" s="74" t="str">
        <f>IF(AND(A46&gt;=Parameters!$B$12,A46&lt;=Parameters!$C$12),"Yes","")</f>
        <v/>
      </c>
      <c r="C46" s="75" t="str">
        <f>IF(AND(A46&gt;=Parameters!$B$13,A46&lt;=Parameters!$C$13),"Yes","")</f>
        <v/>
      </c>
      <c r="D46" s="75" t="str">
        <f>IF(AND(A46&gt;=Parameters!$B$14,A46&lt;=Parameters!$C$14),"Yes","")</f>
        <v>Yes</v>
      </c>
      <c r="E46" s="76" t="str">
        <f>IF(AND(A46&gt;=Parameters!$B$15,A46&lt;=Parameters!$C$15),"Yes","")</f>
        <v/>
      </c>
      <c r="G46" s="83" t="str">
        <f>IF($B46="Yes",G45-Parameters!$D$20,"")</f>
        <v/>
      </c>
      <c r="H46" s="84" t="str">
        <f>IF($B46="Yes",H45-Parameters!$D$21,"")</f>
        <v/>
      </c>
      <c r="I46" s="84" t="str">
        <f>IF($B46="Yes",I45-Parameters!$D$22,"")</f>
        <v/>
      </c>
      <c r="J46" s="85" t="str">
        <f t="shared" si="5"/>
        <v/>
      </c>
      <c r="L46" s="110">
        <f>IF(A46=Parameters!$C$13,$G$51*Parameters!$D$24,IF(D46="Yes",L45*(1-Parameters!$G$27),""))</f>
        <v>454.39274310957268</v>
      </c>
      <c r="M46" s="111">
        <f>IF(A46=Parameters!$C$13,$H$51*Parameters!$D$24,IF(D46="Yes",M45*(1-Parameters!$G$28),""))</f>
        <v>640.28068347257954</v>
      </c>
      <c r="N46" s="111">
        <f>IF(A46=Parameters!$C$13,$I$51*Parameters!$D$24,IF(D46="Yes",N45*(1-Parameters!$G$29),""))</f>
        <v>356.82488151722993</v>
      </c>
      <c r="O46" s="89">
        <f>IF(OR(A46&lt;Parameters!$C$13,A46&gt;Parameters!$C$14),"",SUM(L46:N46))</f>
        <v>1451.498308099382</v>
      </c>
      <c r="Q46" s="74" t="str">
        <f>IF(A46=Parameters!$B$12-1,-Parameters!B59*'Scenario 2'!J46,"")</f>
        <v/>
      </c>
      <c r="R46" s="75" t="str">
        <f>IF(AND(A46&gt;=Parameters!$B$12,A46&lt;=Parameters!$C$12),-Parameters!$D$36,"")</f>
        <v/>
      </c>
      <c r="S46" s="23"/>
      <c r="T46" s="75" t="str">
        <f>IF(AND(A46&gt;=Parameters!$B$13,A46&lt;=Parameters!$C$13),-Parameters!$C$39,"")</f>
        <v/>
      </c>
      <c r="U46" s="75" t="str">
        <f>IF(A46=Parameters!C$13,-Parameters!$C$37*O46,"")</f>
        <v/>
      </c>
      <c r="V46" s="75">
        <f>IF(AND(A46&gt;=Parameters!$B$14,A46&lt;=Parameters!$C$14),-Parameters!$D$37,"")</f>
        <v>-250</v>
      </c>
      <c r="W46" s="93" t="str">
        <f t="shared" si="0"/>
        <v/>
      </c>
      <c r="X46" s="114" t="str">
        <f>IF(AND(A46&gt;=Parameters!$B$15,A46&lt;=Parameters!$C$15),($L$47*Parameters!$D$45+$M$47*Parameters!$D$46+$N$47*Parameters!$D$47)*0.5,"")</f>
        <v/>
      </c>
      <c r="Z46" s="99">
        <f>(1+Parameters!$B$52)^-A46</f>
        <v>0.98935103105358724</v>
      </c>
      <c r="AA46" s="94">
        <f t="shared" si="1"/>
        <v>-247.33775776339681</v>
      </c>
      <c r="AC46" s="99">
        <f t="shared" si="2"/>
        <v>0.7617178581020021</v>
      </c>
      <c r="AD46" s="94">
        <f t="shared" si="3"/>
        <v>-190.42946452550052</v>
      </c>
    </row>
    <row r="47" spans="1:30" x14ac:dyDescent="0.2">
      <c r="A47" s="74">
        <f>A46+1</f>
        <v>42</v>
      </c>
      <c r="B47" s="74" t="str">
        <f>IF(AND(A47&gt;=Parameters!$B$12,A47&lt;=Parameters!$C$12),"Yes","")</f>
        <v/>
      </c>
      <c r="C47" s="75" t="str">
        <f>IF(AND(A47&gt;=Parameters!$B$13,A47&lt;=Parameters!$C$13),"Yes","")</f>
        <v/>
      </c>
      <c r="D47" s="75" t="str">
        <f>IF(AND(A47&gt;=Parameters!$B$14,A47&lt;=Parameters!$C$14),"Yes","")</f>
        <v>Yes</v>
      </c>
      <c r="E47" s="76" t="str">
        <f>IF(AND(A47&gt;=Parameters!$B$15,A47&lt;=Parameters!$C$15),"Yes","")</f>
        <v/>
      </c>
      <c r="G47" s="83" t="str">
        <f>IF($B47="Yes",G46-Parameters!$D$20,"")</f>
        <v/>
      </c>
      <c r="H47" s="84" t="str">
        <f>IF($B47="Yes",H46-Parameters!$D$21,"")</f>
        <v/>
      </c>
      <c r="I47" s="84" t="str">
        <f>IF($B47="Yes",I46-Parameters!$D$22,"")</f>
        <v/>
      </c>
      <c r="J47" s="85" t="str">
        <f t="shared" si="5"/>
        <v/>
      </c>
      <c r="L47" s="110">
        <f>IF(A47=Parameters!$C$13,$G$51*Parameters!$D$24,IF(D47="Yes",L46*(1-Parameters!$G$27),""))</f>
        <v>449.84881567847697</v>
      </c>
      <c r="M47" s="111">
        <f>IF(A47=Parameters!$C$13,$H$51*Parameters!$D$24,IF(D47="Yes",M46*(1-Parameters!$G$28),""))</f>
        <v>633.87787663785377</v>
      </c>
      <c r="N47" s="111">
        <f>IF(A47=Parameters!$C$13,$I$51*Parameters!$D$24,IF(D47="Yes",N46*(1-Parameters!$G$29),""))</f>
        <v>342.55188625654074</v>
      </c>
      <c r="O47" s="89">
        <f>IF(OR(A47&lt;Parameters!$C$13,A47&gt;Parameters!$C$14),"",SUM(L47:N47))</f>
        <v>1426.2785785728713</v>
      </c>
      <c r="Q47" s="74" t="str">
        <f>IF(A47=Parameters!$B$12-1,-Parameters!B60*'Scenario 2'!J47,"")</f>
        <v/>
      </c>
      <c r="R47" s="75" t="str">
        <f>IF(AND(A47&gt;=Parameters!$B$12,A47&lt;=Parameters!$C$12),-Parameters!$D$36,"")</f>
        <v/>
      </c>
      <c r="S47" s="23"/>
      <c r="T47" s="75" t="str">
        <f>IF(AND(A47&gt;=Parameters!$B$13,A47&lt;=Parameters!$C$13),-Parameters!$C$39,"")</f>
        <v/>
      </c>
      <c r="U47" s="75" t="str">
        <f>IF(A47=Parameters!C$13,-Parameters!$C$37*O47,"")</f>
        <v/>
      </c>
      <c r="V47" s="75">
        <f>IF(AND(A47&gt;=Parameters!$B$14,A47&lt;=Parameters!$C$14),-Parameters!$D$37,"")</f>
        <v>-250</v>
      </c>
      <c r="W47" s="93" t="str">
        <f t="shared" si="0"/>
        <v/>
      </c>
      <c r="X47" s="114" t="str">
        <f>IF(AND(A47&gt;=Parameters!$B$15,A47&lt;=Parameters!$C$15),($L$47*Parameters!$D$45+$M$47*Parameters!$D$46+$N$47*Parameters!$D$47)*0.5,"")</f>
        <v/>
      </c>
      <c r="Z47" s="99">
        <f>(1+Parameters!$B$52)^-A47</f>
        <v>0.98909272169915441</v>
      </c>
      <c r="AA47" s="94">
        <f t="shared" si="1"/>
        <v>-247.27318042478859</v>
      </c>
      <c r="AC47" s="99">
        <f t="shared" si="2"/>
        <v>0.7566779310772096</v>
      </c>
      <c r="AD47" s="94">
        <f t="shared" si="3"/>
        <v>-189.16948276930239</v>
      </c>
    </row>
    <row r="48" spans="1:30" x14ac:dyDescent="0.2">
      <c r="A48" s="74">
        <f>A47+1</f>
        <v>43</v>
      </c>
      <c r="B48" s="74" t="str">
        <f>IF(AND(A48&gt;=Parameters!$B$12,A48&lt;=Parameters!$C$12),"Yes","")</f>
        <v/>
      </c>
      <c r="C48" s="75" t="str">
        <f>IF(AND(A48&gt;=Parameters!$B$13,A48&lt;=Parameters!$C$13),"Yes","")</f>
        <v/>
      </c>
      <c r="D48" s="75" t="str">
        <f>IF(AND(A48&gt;=Parameters!$B$14,A48&lt;=Parameters!$C$14),"Yes","")</f>
        <v/>
      </c>
      <c r="E48" s="76" t="str">
        <f>IF(AND(A48&gt;=Parameters!$B$15,A48&lt;=Parameters!$C$15),"Yes","")</f>
        <v>Yes</v>
      </c>
      <c r="G48" s="83" t="str">
        <f>IF($B48="Yes",G47-Parameters!$D$20,"")</f>
        <v/>
      </c>
      <c r="H48" s="84" t="str">
        <f>IF($B48="Yes",H47-Parameters!$D$21,"")</f>
        <v/>
      </c>
      <c r="I48" s="84" t="str">
        <f>IF($B48="Yes",I47-Parameters!$D$22,"")</f>
        <v/>
      </c>
      <c r="J48" s="85" t="str">
        <f t="shared" si="5"/>
        <v/>
      </c>
      <c r="L48" s="110" t="str">
        <f>IF(A48=Parameters!$C$13,$G$51*Parameters!$D$24,IF(D48="Yes",L47*(1-Parameters!$G$27),""))</f>
        <v/>
      </c>
      <c r="M48" s="111" t="str">
        <f>IF(A48=Parameters!$C$13,$H$51*Parameters!$D$24,IF(D48="Yes",M47*(1-Parameters!$G$28),""))</f>
        <v/>
      </c>
      <c r="N48" s="111" t="str">
        <f>IF(A48=Parameters!$C$13,$I$51*Parameters!$D$24,IF(D48="Yes",N47*(1-Parameters!$G$29),""))</f>
        <v/>
      </c>
      <c r="O48" s="89" t="str">
        <f>IF(OR(A48&lt;Parameters!$C$13,A48&gt;Parameters!$C$14),"",SUM(L48:N48))</f>
        <v/>
      </c>
      <c r="Q48" s="74" t="str">
        <f>IF(A48=Parameters!$B$12-1,-Parameters!B61*'Scenario 2'!J48,"")</f>
        <v/>
      </c>
      <c r="R48" s="75" t="str">
        <f>IF(AND(A48&gt;=Parameters!$B$12,A48&lt;=Parameters!$C$12),-Parameters!$D$36,"")</f>
        <v/>
      </c>
      <c r="S48" s="23"/>
      <c r="T48" s="75" t="str">
        <f>IF(AND(A48&gt;=Parameters!$B$13,A48&lt;=Parameters!$C$13),-Parameters!$C$39,"")</f>
        <v/>
      </c>
      <c r="U48" s="75" t="str">
        <f>IF(A48=Parameters!C$13,-Parameters!$C$37*O48,"")</f>
        <v/>
      </c>
      <c r="V48" s="75" t="str">
        <f>IF(AND(A48&gt;=Parameters!$B$14,A48&lt;=Parameters!$C$14),-Parameters!$D$37,"")</f>
        <v/>
      </c>
      <c r="W48" s="93" t="str">
        <f t="shared" si="0"/>
        <v/>
      </c>
      <c r="X48" s="114">
        <f>IF(AND(A48&gt;=Parameters!$B$15,A48&lt;=Parameters!$C$15),($L$47*Parameters!$D$45+$M$47*Parameters!$D$46+$N$47*Parameters!$D$47)*0.5,"")</f>
        <v>20109.609105131043</v>
      </c>
      <c r="Z48" s="99">
        <f>(1+Parameters!$B$52)^-A48</f>
        <v>0.9888344797866303</v>
      </c>
      <c r="AA48" s="94">
        <f t="shared" si="1"/>
        <v>19885.07485818474</v>
      </c>
      <c r="AC48" s="99">
        <f t="shared" si="2"/>
        <v>0.75167135086731074</v>
      </c>
      <c r="AD48" s="94">
        <f t="shared" si="3"/>
        <v>15115.817041467422</v>
      </c>
    </row>
    <row r="49" spans="1:30" x14ac:dyDescent="0.2">
      <c r="A49" s="77">
        <f>A48+1</f>
        <v>44</v>
      </c>
      <c r="B49" s="77" t="str">
        <f>IF(AND(A49&gt;=Parameters!$B$12,A49&lt;=Parameters!$C$12),"Yes","")</f>
        <v/>
      </c>
      <c r="C49" s="78" t="str">
        <f>IF(AND(A49&gt;=Parameters!$B$13,A49&lt;=Parameters!$C$13),"Yes","")</f>
        <v/>
      </c>
      <c r="D49" s="78" t="str">
        <f>IF(AND(A49&gt;=Parameters!$B$14,A49&lt;=Parameters!$C$14),"Yes","")</f>
        <v/>
      </c>
      <c r="E49" s="79" t="str">
        <f>IF(AND(A49&gt;=Parameters!$B$15,A49&lt;=Parameters!$C$15),"Yes","")</f>
        <v>Yes</v>
      </c>
      <c r="G49" s="86" t="str">
        <f>IF($B49="Yes",G48-Parameters!$D$20,"")</f>
        <v/>
      </c>
      <c r="H49" s="87" t="str">
        <f>IF($B49="Yes",H48-Parameters!$D$21,"")</f>
        <v/>
      </c>
      <c r="I49" s="87" t="str">
        <f>IF($B49="Yes",I48-Parameters!$D$22,"")</f>
        <v/>
      </c>
      <c r="J49" s="88" t="str">
        <f t="shared" si="5"/>
        <v/>
      </c>
      <c r="L49" s="112" t="str">
        <f>IF(A49=Parameters!$C$13,$G$51*Parameters!$D$24,IF(D49="Yes",L48*(1-Parameters!$G$27),""))</f>
        <v/>
      </c>
      <c r="M49" s="113" t="str">
        <f>IF(A49=Parameters!$C$13,$H$51*Parameters!$D$24,IF(D49="Yes",M48*(1-Parameters!$G$28),""))</f>
        <v/>
      </c>
      <c r="N49" s="113" t="str">
        <f>IF(A49=Parameters!$C$13,$I$51*Parameters!$D$24,IF(D49="Yes",N48*(1-Parameters!$G$29),""))</f>
        <v/>
      </c>
      <c r="O49" s="90" t="str">
        <f>IF(OR(A49&lt;Parameters!$C$13,A49&gt;Parameters!$C$14),"",SUM(L49:N49))</f>
        <v/>
      </c>
      <c r="Q49" s="77" t="str">
        <f>IF(A49=Parameters!$B$12-1,-Parameters!B62*'Scenario 2'!J49,"")</f>
        <v/>
      </c>
      <c r="R49" s="78" t="str">
        <f>IF(AND(A49&gt;=Parameters!$B$12,A49&lt;=Parameters!$C$12),-Parameters!$D$36,"")</f>
        <v/>
      </c>
      <c r="S49" s="30"/>
      <c r="T49" s="78" t="str">
        <f>IF(AND(A49&gt;=Parameters!$B$13,A49&lt;=Parameters!$C$13),-Parameters!$C$39,"")</f>
        <v/>
      </c>
      <c r="U49" s="78" t="str">
        <f>IF(A49=Parameters!C$13,-Parameters!$C$37*O49,"")</f>
        <v/>
      </c>
      <c r="V49" s="78" t="str">
        <f>IF(AND(A49&gt;=Parameters!$B$14,A49&lt;=Parameters!$C$14),-Parameters!$D$37,"")</f>
        <v/>
      </c>
      <c r="W49" s="95" t="str">
        <f t="shared" si="0"/>
        <v/>
      </c>
      <c r="X49" s="115">
        <f>IF(AND(A49&gt;=Parameters!$B$15,A49&lt;=Parameters!$C$15),($L$47*Parameters!$D$45+$M$47*Parameters!$D$46+$N$47*Parameters!$D$47)*0.5,"")</f>
        <v>20109.609105131043</v>
      </c>
      <c r="Z49" s="100">
        <f>(1+Parameters!$B$52)^-A49</f>
        <v>0.98857630529840779</v>
      </c>
      <c r="AA49" s="96">
        <f t="shared" si="1"/>
        <v>19879.883070145668</v>
      </c>
      <c r="AC49" s="100">
        <f t="shared" si="2"/>
        <v>0.74669789683219323</v>
      </c>
      <c r="AD49" s="96">
        <f t="shared" si="3"/>
        <v>15015.802824918874</v>
      </c>
    </row>
    <row r="51" spans="1:30" x14ac:dyDescent="0.2">
      <c r="E51" s="101" t="s">
        <v>100</v>
      </c>
      <c r="G51" s="102">
        <f>MIN(G5:G48)</f>
        <v>55</v>
      </c>
      <c r="H51" s="103">
        <f>MIN(H5:H48)</f>
        <v>77.5</v>
      </c>
      <c r="I51" s="103">
        <f>MIN(I5:I48)</f>
        <v>77.5</v>
      </c>
      <c r="J51" s="104">
        <f>SUM(G51:I51)</f>
        <v>210</v>
      </c>
      <c r="O51" s="66"/>
      <c r="X51" s="55"/>
      <c r="Z51" s="101" t="s">
        <v>99</v>
      </c>
      <c r="AA51" s="54">
        <f>SUM(AA5:AA49)</f>
        <v>8353.9848869530106</v>
      </c>
      <c r="AC51" s="101" t="s">
        <v>99</v>
      </c>
      <c r="AD51" s="54">
        <f>SUM(AD5:AD49)</f>
        <v>8.6707431910326704E-4</v>
      </c>
    </row>
    <row r="54" spans="1:30" x14ac:dyDescent="0.2">
      <c r="A54" s="15" t="s">
        <v>68</v>
      </c>
      <c r="B54" s="22"/>
      <c r="C54" s="22"/>
      <c r="D54" s="22"/>
      <c r="E54" s="22"/>
      <c r="F54" s="22"/>
      <c r="G54" s="22"/>
      <c r="H54" s="22"/>
      <c r="I54" s="22"/>
      <c r="J54" s="16"/>
      <c r="X54" s="55"/>
    </row>
    <row r="55" spans="1:30" x14ac:dyDescent="0.2">
      <c r="A55" s="17"/>
      <c r="B55" s="23"/>
      <c r="C55" s="23"/>
      <c r="D55" s="23"/>
      <c r="E55" s="23"/>
      <c r="F55" s="23"/>
      <c r="G55" s="23"/>
      <c r="H55" s="23"/>
      <c r="I55" s="23"/>
      <c r="J55" s="18"/>
    </row>
    <row r="56" spans="1:30" x14ac:dyDescent="0.2">
      <c r="A56" s="17" t="s">
        <v>69</v>
      </c>
      <c r="B56" s="23"/>
      <c r="C56" s="23"/>
      <c r="D56" s="105">
        <f>$W$1</f>
        <v>85.434384937845081</v>
      </c>
      <c r="E56" s="23"/>
      <c r="F56" s="23"/>
      <c r="G56" s="23"/>
      <c r="H56" s="23"/>
      <c r="I56" s="23"/>
      <c r="J56" s="18"/>
    </row>
    <row r="57" spans="1:30" x14ac:dyDescent="0.2">
      <c r="A57" s="17" t="s">
        <v>70</v>
      </c>
      <c r="B57" s="23"/>
      <c r="C57" s="23"/>
      <c r="D57" s="105">
        <f>$W$1</f>
        <v>85.434384937845081</v>
      </c>
      <c r="E57" s="23"/>
      <c r="F57" s="23"/>
      <c r="G57" s="23"/>
      <c r="H57" s="23"/>
      <c r="I57" s="23"/>
      <c r="J57" s="18"/>
    </row>
    <row r="58" spans="1:30" x14ac:dyDescent="0.2">
      <c r="A58" s="17" t="s">
        <v>71</v>
      </c>
      <c r="B58" s="23"/>
      <c r="C58" s="23"/>
      <c r="D58" s="105">
        <f>$W$1/2</f>
        <v>42.717192468922541</v>
      </c>
      <c r="E58" s="23"/>
      <c r="F58" s="23"/>
      <c r="G58" s="23"/>
      <c r="H58" s="23"/>
      <c r="I58" s="23"/>
      <c r="J58" s="18"/>
    </row>
    <row r="59" spans="1:30" x14ac:dyDescent="0.2">
      <c r="A59" s="17"/>
      <c r="B59" s="23"/>
      <c r="C59" s="23"/>
      <c r="D59" s="23"/>
      <c r="E59" s="23"/>
      <c r="F59" s="23"/>
      <c r="G59" s="23"/>
      <c r="H59" s="23"/>
      <c r="I59" s="23"/>
      <c r="J59" s="18"/>
    </row>
    <row r="60" spans="1:30" x14ac:dyDescent="0.2">
      <c r="A60" s="17" t="s">
        <v>72</v>
      </c>
      <c r="B60" s="23"/>
      <c r="C60" s="23"/>
      <c r="D60" s="106">
        <f>AA51</f>
        <v>8353.9848869530106</v>
      </c>
      <c r="E60" s="23"/>
      <c r="F60" s="23"/>
      <c r="G60" s="23"/>
      <c r="H60" s="23"/>
      <c r="I60" s="23"/>
      <c r="J60" s="18"/>
    </row>
    <row r="61" spans="1:30" x14ac:dyDescent="0.2">
      <c r="A61" s="17" t="s">
        <v>12</v>
      </c>
      <c r="B61" s="23"/>
      <c r="C61" s="23"/>
      <c r="D61" s="106">
        <f>Parameters!B53</f>
        <v>2500</v>
      </c>
      <c r="E61" s="23"/>
      <c r="F61" s="23"/>
      <c r="G61" s="23"/>
      <c r="H61" s="23"/>
      <c r="I61" s="23"/>
      <c r="J61" s="18"/>
    </row>
    <row r="62" spans="1:30" x14ac:dyDescent="0.2">
      <c r="A62" s="17" t="s">
        <v>11</v>
      </c>
      <c r="B62" s="23"/>
      <c r="C62" s="23"/>
      <c r="D62" s="106">
        <f>D60-D61</f>
        <v>5853.9848869530106</v>
      </c>
      <c r="E62" s="23"/>
      <c r="F62" s="23"/>
      <c r="G62" s="23"/>
      <c r="H62" s="23"/>
      <c r="I62" s="23"/>
      <c r="J62" s="18"/>
    </row>
    <row r="63" spans="1:30" x14ac:dyDescent="0.2">
      <c r="A63" s="17"/>
      <c r="B63" s="23"/>
      <c r="C63" s="23"/>
      <c r="D63" s="23"/>
      <c r="E63" s="23"/>
      <c r="F63" s="23"/>
      <c r="G63" s="23"/>
      <c r="H63" s="23"/>
      <c r="I63" s="23"/>
      <c r="J63" s="18"/>
    </row>
    <row r="64" spans="1:30" x14ac:dyDescent="0.2">
      <c r="A64" s="17" t="s">
        <v>73</v>
      </c>
      <c r="B64" s="23"/>
      <c r="C64" s="23"/>
      <c r="D64" s="23"/>
      <c r="E64" s="23"/>
      <c r="F64" s="23"/>
      <c r="G64" s="23"/>
      <c r="H64" s="23"/>
      <c r="I64" s="23"/>
      <c r="J64" s="18"/>
    </row>
    <row r="65" spans="1:10" x14ac:dyDescent="0.2">
      <c r="A65" s="17" t="s">
        <v>72</v>
      </c>
      <c r="B65" s="23"/>
      <c r="C65" s="23"/>
      <c r="D65" s="106">
        <f>AD51</f>
        <v>8.6707431910326704E-4</v>
      </c>
      <c r="E65" s="23"/>
      <c r="F65" s="23"/>
      <c r="G65" s="23"/>
      <c r="H65" s="23"/>
      <c r="I65" s="23"/>
      <c r="J65" s="18"/>
    </row>
    <row r="66" spans="1:10" x14ac:dyDescent="0.2">
      <c r="A66" s="17" t="s">
        <v>12</v>
      </c>
      <c r="B66" s="23"/>
      <c r="C66" s="23"/>
      <c r="D66" s="23">
        <v>0</v>
      </c>
      <c r="E66" s="23"/>
      <c r="F66" s="23"/>
      <c r="G66" s="23"/>
      <c r="H66" s="23"/>
      <c r="I66" s="23"/>
      <c r="J66" s="18"/>
    </row>
    <row r="67" spans="1:10" x14ac:dyDescent="0.2">
      <c r="A67" s="17" t="s">
        <v>11</v>
      </c>
      <c r="B67" s="23"/>
      <c r="C67" s="23"/>
      <c r="D67" s="106">
        <f>D65-D66</f>
        <v>8.6707431910326704E-4</v>
      </c>
      <c r="E67" s="23" t="str">
        <f>IF(ROUND(D67,2)&lt;&gt;0,"Re-run goalseek","Goalseek okay")</f>
        <v>Goalseek okay</v>
      </c>
      <c r="F67" s="23"/>
      <c r="G67" s="23" t="s">
        <v>79</v>
      </c>
      <c r="H67" s="23"/>
      <c r="I67" s="23"/>
      <c r="J67" s="18"/>
    </row>
    <row r="68" spans="1:10" x14ac:dyDescent="0.2">
      <c r="A68" s="17" t="s">
        <v>74</v>
      </c>
      <c r="B68" s="23"/>
      <c r="C68" s="23"/>
      <c r="D68" s="107">
        <v>6.6605973529816663E-3</v>
      </c>
      <c r="E68" s="23" t="s">
        <v>13</v>
      </c>
      <c r="F68" s="23"/>
      <c r="G68" s="23"/>
      <c r="H68" s="23"/>
      <c r="I68" s="23"/>
      <c r="J68" s="18"/>
    </row>
    <row r="69" spans="1:10" x14ac:dyDescent="0.2">
      <c r="A69" s="50" t="s">
        <v>75</v>
      </c>
      <c r="B69" s="30"/>
      <c r="C69" s="30"/>
      <c r="D69" s="108">
        <f>(1+D68)^365-1</f>
        <v>10.280295663647134</v>
      </c>
      <c r="E69" s="30" t="s">
        <v>14</v>
      </c>
      <c r="F69" s="30"/>
      <c r="G69" s="30"/>
      <c r="H69" s="30"/>
      <c r="I69" s="30"/>
      <c r="J69" s="34"/>
    </row>
  </sheetData>
  <mergeCells count="6">
    <mergeCell ref="U3:V3"/>
    <mergeCell ref="B3:D3"/>
    <mergeCell ref="G3:J3"/>
    <mergeCell ref="L3:O3"/>
    <mergeCell ref="Q3:R3"/>
    <mergeCell ref="S3:T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I26" sqref="I26"/>
    </sheetView>
  </sheetViews>
  <sheetFormatPr defaultRowHeight="12.75" x14ac:dyDescent="0.2"/>
  <cols>
    <col min="1" max="1" width="12" customWidth="1"/>
    <col min="2" max="2" width="13.85546875" customWidth="1"/>
    <col min="3" max="3" width="12.5703125" customWidth="1"/>
    <col min="4" max="4" width="13.42578125" customWidth="1"/>
    <col min="5" max="5" width="12.42578125" customWidth="1"/>
    <col min="6" max="6" width="14" customWidth="1"/>
    <col min="7" max="7" width="16.28515625" customWidth="1"/>
    <col min="8" max="9" width="13.28515625" customWidth="1"/>
    <col min="11" max="11" width="17.28515625" customWidth="1"/>
    <col min="12" max="12" width="14.140625" customWidth="1"/>
    <col min="13" max="13" width="13.42578125" customWidth="1"/>
  </cols>
  <sheetData>
    <row r="1" spans="1:4" ht="15.75" x14ac:dyDescent="0.25">
      <c r="A1" s="2" t="s">
        <v>95</v>
      </c>
    </row>
    <row r="3" spans="1:4" x14ac:dyDescent="0.2">
      <c r="A3" s="58" t="s">
        <v>91</v>
      </c>
      <c r="B3" s="58" t="s">
        <v>92</v>
      </c>
      <c r="C3" s="58" t="s">
        <v>93</v>
      </c>
      <c r="D3" s="58" t="s">
        <v>94</v>
      </c>
    </row>
    <row r="4" spans="1:4" x14ac:dyDescent="0.2">
      <c r="A4" s="62">
        <v>1</v>
      </c>
      <c r="B4" s="57">
        <f>'Scenario 1'!G5</f>
        <v>100</v>
      </c>
      <c r="C4" s="57">
        <f>'Scenario 1'!H5</f>
        <v>100</v>
      </c>
      <c r="D4" s="57">
        <f>'Scenario 1'!I5</f>
        <v>100</v>
      </c>
    </row>
    <row r="5" spans="1:4" x14ac:dyDescent="0.2">
      <c r="A5" s="62">
        <f>A4+1</f>
        <v>2</v>
      </c>
      <c r="B5" s="57">
        <f>'Scenario 1'!G6</f>
        <v>97</v>
      </c>
      <c r="C5" s="57">
        <f>'Scenario 1'!H6</f>
        <v>98.5</v>
      </c>
      <c r="D5" s="57">
        <f>'Scenario 1'!I6</f>
        <v>98.5</v>
      </c>
    </row>
    <row r="6" spans="1:4" x14ac:dyDescent="0.2">
      <c r="A6" s="62">
        <f t="shared" ref="A6:A18" si="0">A5+1</f>
        <v>3</v>
      </c>
      <c r="B6" s="57">
        <f>'Scenario 1'!G7</f>
        <v>94</v>
      </c>
      <c r="C6" s="57">
        <f>'Scenario 1'!H7</f>
        <v>97</v>
      </c>
      <c r="D6" s="57">
        <f>'Scenario 1'!I7</f>
        <v>97</v>
      </c>
    </row>
    <row r="7" spans="1:4" x14ac:dyDescent="0.2">
      <c r="A7" s="62">
        <f t="shared" si="0"/>
        <v>4</v>
      </c>
      <c r="B7" s="57">
        <f>'Scenario 1'!G8</f>
        <v>91</v>
      </c>
      <c r="C7" s="57">
        <f>'Scenario 1'!H8</f>
        <v>95.5</v>
      </c>
      <c r="D7" s="57">
        <f>'Scenario 1'!I8</f>
        <v>95.5</v>
      </c>
    </row>
    <row r="8" spans="1:4" x14ac:dyDescent="0.2">
      <c r="A8" s="62">
        <f t="shared" si="0"/>
        <v>5</v>
      </c>
      <c r="B8" s="57">
        <f>'Scenario 1'!G9</f>
        <v>88</v>
      </c>
      <c r="C8" s="57">
        <f>'Scenario 1'!H9</f>
        <v>94</v>
      </c>
      <c r="D8" s="57">
        <f>'Scenario 1'!I9</f>
        <v>94</v>
      </c>
    </row>
    <row r="9" spans="1:4" x14ac:dyDescent="0.2">
      <c r="A9" s="62">
        <f t="shared" si="0"/>
        <v>6</v>
      </c>
      <c r="B9" s="57">
        <f>'Scenario 1'!G10</f>
        <v>85</v>
      </c>
      <c r="C9" s="57">
        <f>'Scenario 1'!H10</f>
        <v>92.5</v>
      </c>
      <c r="D9" s="57">
        <f>'Scenario 1'!I10</f>
        <v>92.5</v>
      </c>
    </row>
    <row r="10" spans="1:4" x14ac:dyDescent="0.2">
      <c r="A10" s="62">
        <f t="shared" si="0"/>
        <v>7</v>
      </c>
      <c r="B10" s="57">
        <f>'Scenario 1'!G11</f>
        <v>82</v>
      </c>
      <c r="C10" s="57">
        <f>'Scenario 1'!H11</f>
        <v>91</v>
      </c>
      <c r="D10" s="57">
        <f>'Scenario 1'!I11</f>
        <v>91</v>
      </c>
    </row>
    <row r="11" spans="1:4" x14ac:dyDescent="0.2">
      <c r="A11" s="62">
        <f t="shared" si="0"/>
        <v>8</v>
      </c>
      <c r="B11" s="57">
        <f>'Scenario 1'!G12</f>
        <v>79</v>
      </c>
      <c r="C11" s="57">
        <f>'Scenario 1'!H12</f>
        <v>89.5</v>
      </c>
      <c r="D11" s="57">
        <f>'Scenario 1'!I12</f>
        <v>89.5</v>
      </c>
    </row>
    <row r="12" spans="1:4" x14ac:dyDescent="0.2">
      <c r="A12" s="62">
        <f t="shared" si="0"/>
        <v>9</v>
      </c>
      <c r="B12" s="57">
        <f>'Scenario 1'!G13</f>
        <v>76</v>
      </c>
      <c r="C12" s="57">
        <f>'Scenario 1'!H13</f>
        <v>88</v>
      </c>
      <c r="D12" s="57">
        <f>'Scenario 1'!I13</f>
        <v>88</v>
      </c>
    </row>
    <row r="13" spans="1:4" x14ac:dyDescent="0.2">
      <c r="A13" s="62">
        <f t="shared" si="0"/>
        <v>10</v>
      </c>
      <c r="B13" s="57">
        <f>'Scenario 1'!G14</f>
        <v>73</v>
      </c>
      <c r="C13" s="57">
        <f>'Scenario 1'!H14</f>
        <v>86.5</v>
      </c>
      <c r="D13" s="57">
        <f>'Scenario 1'!I14</f>
        <v>86.5</v>
      </c>
    </row>
    <row r="14" spans="1:4" x14ac:dyDescent="0.2">
      <c r="A14" s="62">
        <f t="shared" si="0"/>
        <v>11</v>
      </c>
      <c r="B14" s="57">
        <f>'Scenario 1'!G15</f>
        <v>70</v>
      </c>
      <c r="C14" s="57">
        <f>'Scenario 1'!H15</f>
        <v>85</v>
      </c>
      <c r="D14" s="57">
        <f>'Scenario 1'!I15</f>
        <v>85</v>
      </c>
    </row>
    <row r="15" spans="1:4" x14ac:dyDescent="0.2">
      <c r="A15" s="62">
        <f t="shared" si="0"/>
        <v>12</v>
      </c>
      <c r="B15" s="57">
        <f>'Scenario 1'!G16</f>
        <v>67</v>
      </c>
      <c r="C15" s="57">
        <f>'Scenario 1'!H16</f>
        <v>83.5</v>
      </c>
      <c r="D15" s="57">
        <f>'Scenario 1'!I16</f>
        <v>83.5</v>
      </c>
    </row>
    <row r="16" spans="1:4" x14ac:dyDescent="0.2">
      <c r="A16" s="62">
        <f t="shared" si="0"/>
        <v>13</v>
      </c>
      <c r="B16" s="57">
        <f>'Scenario 1'!G17</f>
        <v>64</v>
      </c>
      <c r="C16" s="57">
        <f>'Scenario 1'!H17</f>
        <v>82</v>
      </c>
      <c r="D16" s="57">
        <f>'Scenario 1'!I17</f>
        <v>82</v>
      </c>
    </row>
    <row r="17" spans="1:9" x14ac:dyDescent="0.2">
      <c r="A17" s="62">
        <f t="shared" si="0"/>
        <v>14</v>
      </c>
      <c r="B17" s="57">
        <f>'Scenario 1'!G18</f>
        <v>61</v>
      </c>
      <c r="C17" s="57">
        <f>'Scenario 1'!H18</f>
        <v>80.5</v>
      </c>
      <c r="D17" s="57">
        <f>'Scenario 1'!I18</f>
        <v>80.5</v>
      </c>
    </row>
    <row r="18" spans="1:9" x14ac:dyDescent="0.2">
      <c r="A18" s="62">
        <f t="shared" si="0"/>
        <v>15</v>
      </c>
      <c r="B18" s="57">
        <f>'Scenario 1'!G19</f>
        <v>58</v>
      </c>
      <c r="C18" s="57">
        <f>'Scenario 1'!H19</f>
        <v>79</v>
      </c>
      <c r="D18" s="57">
        <f>'Scenario 1'!I19</f>
        <v>79</v>
      </c>
    </row>
    <row r="25" spans="1:9" ht="15.75" x14ac:dyDescent="0.25">
      <c r="A25" s="2" t="s">
        <v>81</v>
      </c>
    </row>
    <row r="26" spans="1:9" x14ac:dyDescent="0.2">
      <c r="I26" s="9"/>
    </row>
    <row r="27" spans="1:9" x14ac:dyDescent="0.2">
      <c r="A27" s="58" t="s">
        <v>91</v>
      </c>
      <c r="B27" s="58" t="s">
        <v>82</v>
      </c>
      <c r="C27" s="58" t="s">
        <v>83</v>
      </c>
      <c r="D27" s="58" t="s">
        <v>84</v>
      </c>
      <c r="E27" s="58" t="s">
        <v>85</v>
      </c>
      <c r="F27" s="58" t="s">
        <v>86</v>
      </c>
      <c r="G27" s="58" t="s">
        <v>87</v>
      </c>
    </row>
    <row r="28" spans="1:9" x14ac:dyDescent="0.2">
      <c r="A28" s="62">
        <v>22</v>
      </c>
      <c r="B28" s="57">
        <f>'Scenario 1'!L27</f>
        <v>550</v>
      </c>
      <c r="C28" s="57">
        <f>'Scenario 1'!M27</f>
        <v>775</v>
      </c>
      <c r="D28" s="57">
        <f>'Scenario 1'!N27</f>
        <v>775</v>
      </c>
      <c r="E28" s="57">
        <f>'Scenario 2'!L27</f>
        <v>550</v>
      </c>
      <c r="F28" s="57">
        <f>'Scenario 2'!M27</f>
        <v>775</v>
      </c>
      <c r="G28" s="57">
        <f>'Scenario 2'!N27</f>
        <v>775</v>
      </c>
    </row>
    <row r="29" spans="1:9" x14ac:dyDescent="0.2">
      <c r="A29" s="62">
        <f>A28+1</f>
        <v>23</v>
      </c>
      <c r="B29" s="57">
        <f>'Scenario 1'!L28</f>
        <v>539</v>
      </c>
      <c r="C29" s="57">
        <f>'Scenario 1'!M28</f>
        <v>759.5</v>
      </c>
      <c r="D29" s="57">
        <f>'Scenario 1'!N28</f>
        <v>759.5</v>
      </c>
      <c r="E29" s="57">
        <f>'Scenario 2'!L28</f>
        <v>544.5</v>
      </c>
      <c r="F29" s="57">
        <f>'Scenario 2'!M28</f>
        <v>767.25</v>
      </c>
      <c r="G29" s="57">
        <f>'Scenario 2'!N28</f>
        <v>744</v>
      </c>
    </row>
    <row r="30" spans="1:9" x14ac:dyDescent="0.2">
      <c r="A30" s="62">
        <f t="shared" ref="A30:A48" si="1">A29+1</f>
        <v>24</v>
      </c>
      <c r="B30" s="57">
        <f>'Scenario 1'!L29</f>
        <v>528.22</v>
      </c>
      <c r="C30" s="57">
        <f>'Scenario 1'!M29</f>
        <v>744.31</v>
      </c>
      <c r="D30" s="57">
        <f>'Scenario 1'!N29</f>
        <v>744.31</v>
      </c>
      <c r="E30" s="57">
        <f>'Scenario 2'!L29</f>
        <v>539.05499999999995</v>
      </c>
      <c r="F30" s="57">
        <f>'Scenario 2'!M29</f>
        <v>759.57749999999999</v>
      </c>
      <c r="G30" s="57">
        <f>'Scenario 2'!N29</f>
        <v>714.24</v>
      </c>
      <c r="H30" s="1"/>
    </row>
    <row r="31" spans="1:9" x14ac:dyDescent="0.2">
      <c r="A31" s="62">
        <f t="shared" si="1"/>
        <v>25</v>
      </c>
      <c r="B31" s="57">
        <f>'Scenario 1'!L30</f>
        <v>517.65560000000005</v>
      </c>
      <c r="C31" s="57">
        <f>'Scenario 1'!M30</f>
        <v>729.42379999999991</v>
      </c>
      <c r="D31" s="57">
        <f>'Scenario 1'!N30</f>
        <v>729.42379999999991</v>
      </c>
      <c r="E31" s="57">
        <f>'Scenario 2'!L30</f>
        <v>533.66444999999999</v>
      </c>
      <c r="F31" s="57">
        <f>'Scenario 2'!M30</f>
        <v>751.98172499999998</v>
      </c>
      <c r="G31" s="57">
        <f>'Scenario 2'!N30</f>
        <v>685.67039999999997</v>
      </c>
      <c r="H31" s="7"/>
      <c r="I31" s="7"/>
    </row>
    <row r="32" spans="1:9" x14ac:dyDescent="0.2">
      <c r="A32" s="62">
        <f t="shared" si="1"/>
        <v>26</v>
      </c>
      <c r="B32" s="57">
        <f>'Scenario 1'!L31</f>
        <v>507.30248800000004</v>
      </c>
      <c r="C32" s="57">
        <f>'Scenario 1'!M31</f>
        <v>714.8353239999999</v>
      </c>
      <c r="D32" s="57">
        <f>'Scenario 1'!N31</f>
        <v>714.8353239999999</v>
      </c>
      <c r="E32" s="57">
        <f>'Scenario 2'!L31</f>
        <v>528.32780549999995</v>
      </c>
      <c r="F32" s="57">
        <f>'Scenario 2'!M31</f>
        <v>744.46190775000002</v>
      </c>
      <c r="G32" s="57">
        <f>'Scenario 2'!N31</f>
        <v>658.24358399999994</v>
      </c>
    </row>
    <row r="33" spans="1:10" x14ac:dyDescent="0.2">
      <c r="A33" s="62">
        <f t="shared" si="1"/>
        <v>27</v>
      </c>
      <c r="B33" s="57">
        <f>'Scenario 1'!L32</f>
        <v>497.15643824000006</v>
      </c>
      <c r="C33" s="57">
        <f>'Scenario 1'!M32</f>
        <v>700.53861751999989</v>
      </c>
      <c r="D33" s="57">
        <f>'Scenario 1'!N32</f>
        <v>700.53861751999989</v>
      </c>
      <c r="E33" s="57">
        <f>'Scenario 2'!L32</f>
        <v>523.04452744499997</v>
      </c>
      <c r="F33" s="57">
        <f>'Scenario 2'!M32</f>
        <v>737.01728867250006</v>
      </c>
      <c r="G33" s="57">
        <f>'Scenario 2'!N32</f>
        <v>631.91384063999988</v>
      </c>
      <c r="H33" s="3"/>
      <c r="I33" s="3"/>
    </row>
    <row r="34" spans="1:10" x14ac:dyDescent="0.2">
      <c r="A34" s="62">
        <f t="shared" si="1"/>
        <v>28</v>
      </c>
      <c r="B34" s="57">
        <f>'Scenario 1'!L33</f>
        <v>487.21330947520005</v>
      </c>
      <c r="C34" s="57">
        <f>'Scenario 1'!M33</f>
        <v>686.52784516959991</v>
      </c>
      <c r="D34" s="57">
        <f>'Scenario 1'!N33</f>
        <v>686.52784516959991</v>
      </c>
      <c r="E34" s="57">
        <f>'Scenario 2'!L33</f>
        <v>517.81408217055002</v>
      </c>
      <c r="F34" s="57">
        <f>'Scenario 2'!M33</f>
        <v>729.6471157857751</v>
      </c>
      <c r="G34" s="57">
        <f>'Scenario 2'!N33</f>
        <v>606.63728701439982</v>
      </c>
      <c r="H34" s="3"/>
      <c r="I34" s="3"/>
    </row>
    <row r="35" spans="1:10" x14ac:dyDescent="0.2">
      <c r="A35" s="62">
        <f t="shared" si="1"/>
        <v>29</v>
      </c>
      <c r="B35" s="57">
        <f>'Scenario 1'!L34</f>
        <v>477.46904328569605</v>
      </c>
      <c r="C35" s="57">
        <f>'Scenario 1'!M34</f>
        <v>672.79728826620794</v>
      </c>
      <c r="D35" s="57">
        <f>'Scenario 1'!N34</f>
        <v>672.79728826620794</v>
      </c>
      <c r="E35" s="57">
        <f>'Scenario 2'!L34</f>
        <v>512.63594134884454</v>
      </c>
      <c r="F35" s="57">
        <f>'Scenario 2'!M34</f>
        <v>722.35064462791729</v>
      </c>
      <c r="G35" s="57">
        <f>'Scenario 2'!N34</f>
        <v>582.37179553382384</v>
      </c>
      <c r="H35" s="3"/>
      <c r="I35" s="3"/>
    </row>
    <row r="36" spans="1:10" x14ac:dyDescent="0.2">
      <c r="A36" s="62">
        <f t="shared" si="1"/>
        <v>30</v>
      </c>
      <c r="B36" s="57">
        <f>'Scenario 1'!L35</f>
        <v>467.9196624199821</v>
      </c>
      <c r="C36" s="57">
        <f>'Scenario 1'!M35</f>
        <v>659.3413425008838</v>
      </c>
      <c r="D36" s="57">
        <f>'Scenario 1'!N35</f>
        <v>659.3413425008838</v>
      </c>
      <c r="E36" s="57">
        <f>'Scenario 2'!L35</f>
        <v>507.5095819353561</v>
      </c>
      <c r="F36" s="57">
        <f>'Scenario 2'!M35</f>
        <v>715.12713818163809</v>
      </c>
      <c r="G36" s="57">
        <f>'Scenario 2'!N35</f>
        <v>559.07692371247083</v>
      </c>
      <c r="H36" s="3"/>
      <c r="I36" s="3"/>
    </row>
    <row r="37" spans="1:10" x14ac:dyDescent="0.2">
      <c r="A37" s="62">
        <f t="shared" si="1"/>
        <v>31</v>
      </c>
      <c r="B37" s="57">
        <f>'Scenario 1'!L36</f>
        <v>458.56126917158247</v>
      </c>
      <c r="C37" s="57">
        <f>'Scenario 1'!M36</f>
        <v>646.15451565086607</v>
      </c>
      <c r="D37" s="57">
        <f>'Scenario 1'!N36</f>
        <v>646.15451565086607</v>
      </c>
      <c r="E37" s="57">
        <f>'Scenario 2'!L36</f>
        <v>502.43448611600252</v>
      </c>
      <c r="F37" s="57">
        <f>'Scenario 2'!M36</f>
        <v>707.97586679982169</v>
      </c>
      <c r="G37" s="57">
        <f>'Scenario 2'!N36</f>
        <v>536.71384676397201</v>
      </c>
      <c r="H37" s="3"/>
      <c r="I37" s="3"/>
    </row>
    <row r="38" spans="1:10" x14ac:dyDescent="0.2">
      <c r="A38" s="62">
        <f t="shared" si="1"/>
        <v>32</v>
      </c>
      <c r="B38" s="57">
        <f>'Scenario 1'!L37</f>
        <v>449.39004378815082</v>
      </c>
      <c r="C38" s="57">
        <f>'Scenario 1'!M37</f>
        <v>633.23142533784869</v>
      </c>
      <c r="D38" s="57">
        <f>'Scenario 1'!N37</f>
        <v>633.23142533784869</v>
      </c>
      <c r="E38" s="57">
        <f>'Scenario 2'!L37</f>
        <v>497.41014125484247</v>
      </c>
      <c r="F38" s="57">
        <f>'Scenario 2'!M37</f>
        <v>700.89610813182344</v>
      </c>
      <c r="G38" s="57">
        <f>'Scenario 2'!N37</f>
        <v>515.24529289341308</v>
      </c>
      <c r="H38" s="3"/>
      <c r="I38" s="3"/>
    </row>
    <row r="39" spans="1:10" x14ac:dyDescent="0.2">
      <c r="A39" s="62">
        <f t="shared" si="1"/>
        <v>33</v>
      </c>
      <c r="B39" s="57">
        <f>'Scenario 1'!L38</f>
        <v>440.40224291238781</v>
      </c>
      <c r="C39" s="57">
        <f>'Scenario 1'!M38</f>
        <v>620.56679683109166</v>
      </c>
      <c r="D39" s="57">
        <f>'Scenario 1'!N38</f>
        <v>620.56679683109166</v>
      </c>
      <c r="E39" s="57">
        <f>'Scenario 2'!L38</f>
        <v>492.43603984229406</v>
      </c>
      <c r="F39" s="57">
        <f>'Scenario 2'!M38</f>
        <v>693.88714705050518</v>
      </c>
      <c r="G39" s="57">
        <f>'Scenario 2'!N38</f>
        <v>494.63548117767652</v>
      </c>
      <c r="H39" s="3"/>
      <c r="I39" s="3"/>
    </row>
    <row r="40" spans="1:10" x14ac:dyDescent="0.2">
      <c r="A40" s="62">
        <f t="shared" si="1"/>
        <v>34</v>
      </c>
      <c r="B40" s="57">
        <f>'Scenario 1'!L39</f>
        <v>431.59419805414007</v>
      </c>
      <c r="C40" s="57">
        <f>'Scenario 1'!M39</f>
        <v>608.1554608944698</v>
      </c>
      <c r="D40" s="57">
        <f>'Scenario 1'!N39</f>
        <v>608.1554608944698</v>
      </c>
      <c r="E40" s="57">
        <f>'Scenario 2'!L39</f>
        <v>487.51167944387112</v>
      </c>
      <c r="F40" s="57">
        <f>'Scenario 2'!M39</f>
        <v>686.94827558000009</v>
      </c>
      <c r="G40" s="57">
        <f>'Scenario 2'!N39</f>
        <v>474.85006193056944</v>
      </c>
      <c r="H40" s="3"/>
      <c r="I40" s="3"/>
    </row>
    <row r="41" spans="1:10" x14ac:dyDescent="0.2">
      <c r="A41" s="62">
        <f t="shared" si="1"/>
        <v>35</v>
      </c>
      <c r="B41" s="57">
        <f>'Scenario 1'!L40</f>
        <v>422.96231409305727</v>
      </c>
      <c r="C41" s="57">
        <f>'Scenario 1'!M40</f>
        <v>595.99235167658037</v>
      </c>
      <c r="D41" s="57">
        <f>'Scenario 1'!N40</f>
        <v>595.99235167658037</v>
      </c>
      <c r="E41" s="57">
        <f>'Scenario 2'!L40</f>
        <v>482.63656264943239</v>
      </c>
      <c r="F41" s="57">
        <f>'Scenario 2'!M40</f>
        <v>680.07879282420004</v>
      </c>
      <c r="G41" s="57">
        <f>'Scenario 2'!N40</f>
        <v>455.85605945334663</v>
      </c>
      <c r="H41" s="3"/>
      <c r="I41" s="3"/>
    </row>
    <row r="42" spans="1:10" x14ac:dyDescent="0.2">
      <c r="A42" s="62">
        <f t="shared" si="1"/>
        <v>36</v>
      </c>
      <c r="B42" s="57">
        <f>'Scenario 1'!L41</f>
        <v>414.5030678111961</v>
      </c>
      <c r="C42" s="57">
        <f>'Scenario 1'!M41</f>
        <v>584.07250464304877</v>
      </c>
      <c r="D42" s="57">
        <f>'Scenario 1'!N41</f>
        <v>584.07250464304877</v>
      </c>
      <c r="E42" s="57">
        <f>'Scenario 2'!L41</f>
        <v>477.81019702293804</v>
      </c>
      <c r="F42" s="57">
        <f>'Scenario 2'!M41</f>
        <v>673.27800489595802</v>
      </c>
      <c r="G42" s="57">
        <f>'Scenario 2'!N41</f>
        <v>437.62181707521273</v>
      </c>
    </row>
    <row r="43" spans="1:10" x14ac:dyDescent="0.2">
      <c r="A43" s="62">
        <f t="shared" si="1"/>
        <v>37</v>
      </c>
      <c r="B43" s="57">
        <f>'Scenario 1'!L42</f>
        <v>406.21300645497217</v>
      </c>
      <c r="C43" s="57">
        <f>'Scenario 1'!M42</f>
        <v>572.39105455018773</v>
      </c>
      <c r="D43" s="57">
        <f>'Scenario 1'!N42</f>
        <v>572.39105455018773</v>
      </c>
      <c r="E43" s="57">
        <f>'Scenario 2'!L42</f>
        <v>473.03209505270866</v>
      </c>
      <c r="F43" s="57">
        <f>'Scenario 2'!M42</f>
        <v>666.54522484699839</v>
      </c>
      <c r="G43" s="57">
        <f>'Scenario 2'!N42</f>
        <v>420.11694439220423</v>
      </c>
      <c r="H43" s="6"/>
      <c r="I43" s="6"/>
    </row>
    <row r="44" spans="1:10" x14ac:dyDescent="0.2">
      <c r="A44" s="62">
        <f t="shared" si="1"/>
        <v>38</v>
      </c>
      <c r="B44" s="57">
        <f>'Scenario 1'!L43</f>
        <v>398.08874632587271</v>
      </c>
      <c r="C44" s="57">
        <f>'Scenario 1'!M43</f>
        <v>560.94323345918394</v>
      </c>
      <c r="D44" s="57">
        <f>'Scenario 1'!N43</f>
        <v>560.94323345918394</v>
      </c>
      <c r="E44" s="57">
        <f>'Scenario 2'!L43</f>
        <v>468.30177410218158</v>
      </c>
      <c r="F44" s="57">
        <f>'Scenario 2'!M43</f>
        <v>659.87977259852835</v>
      </c>
      <c r="G44" s="57">
        <f>'Scenario 2'!N43</f>
        <v>403.31226661651607</v>
      </c>
      <c r="H44" s="3"/>
      <c r="I44" s="3"/>
    </row>
    <row r="45" spans="1:10" x14ac:dyDescent="0.2">
      <c r="A45" s="62">
        <f t="shared" si="1"/>
        <v>39</v>
      </c>
      <c r="B45" s="57">
        <f>'Scenario 1'!L44</f>
        <v>390.12697139935523</v>
      </c>
      <c r="C45" s="57">
        <f>'Scenario 1'!M44</f>
        <v>549.7243687900002</v>
      </c>
      <c r="D45" s="57">
        <f>'Scenario 1'!N44</f>
        <v>549.7243687900002</v>
      </c>
      <c r="E45" s="57">
        <f>'Scenario 2'!L44</f>
        <v>463.61875636115974</v>
      </c>
      <c r="F45" s="57">
        <f>'Scenario 2'!M44</f>
        <v>653.28097487254308</v>
      </c>
      <c r="G45" s="57">
        <f>'Scenario 2'!N44</f>
        <v>387.17977595185539</v>
      </c>
      <c r="H45" s="3"/>
      <c r="I45" s="3"/>
    </row>
    <row r="46" spans="1:10" x14ac:dyDescent="0.2">
      <c r="A46" s="62">
        <f t="shared" si="1"/>
        <v>40</v>
      </c>
      <c r="B46" s="57">
        <f>'Scenario 1'!L45</f>
        <v>382.32443197136814</v>
      </c>
      <c r="C46" s="57">
        <f>'Scenario 1'!M45</f>
        <v>538.72988141420024</v>
      </c>
      <c r="D46" s="57">
        <f>'Scenario 1'!N45</f>
        <v>538.72988141420024</v>
      </c>
      <c r="E46" s="57">
        <f>'Scenario 2'!L45</f>
        <v>458.98256879754814</v>
      </c>
      <c r="F46" s="57">
        <f>'Scenario 2'!M45</f>
        <v>646.74816512381767</v>
      </c>
      <c r="G46" s="57">
        <f>'Scenario 2'!N45</f>
        <v>371.69258491378116</v>
      </c>
      <c r="H46" s="3"/>
      <c r="I46" s="12"/>
      <c r="J46" s="9"/>
    </row>
    <row r="47" spans="1:10" x14ac:dyDescent="0.2">
      <c r="A47" s="62">
        <f t="shared" si="1"/>
        <v>41</v>
      </c>
      <c r="B47" s="57">
        <f>'Scenario 1'!L46</f>
        <v>374.67794333194075</v>
      </c>
      <c r="C47" s="57">
        <f>'Scenario 1'!M46</f>
        <v>527.95528378591621</v>
      </c>
      <c r="D47" s="57">
        <f>'Scenario 1'!N46</f>
        <v>527.95528378591621</v>
      </c>
      <c r="E47" s="57">
        <f>'Scenario 2'!L46</f>
        <v>454.39274310957268</v>
      </c>
      <c r="F47" s="57">
        <f>'Scenario 2'!M46</f>
        <v>640.28068347257954</v>
      </c>
      <c r="G47" s="57">
        <f>'Scenario 2'!N46</f>
        <v>356.82488151722993</v>
      </c>
      <c r="H47" s="3"/>
      <c r="I47" s="11"/>
      <c r="J47" s="9"/>
    </row>
    <row r="48" spans="1:10" x14ac:dyDescent="0.2">
      <c r="A48" s="62">
        <f t="shared" si="1"/>
        <v>42</v>
      </c>
      <c r="B48" s="57">
        <f>'Scenario 1'!L47</f>
        <v>367.18438446530195</v>
      </c>
      <c r="C48" s="57">
        <f>'Scenario 1'!M47</f>
        <v>517.39617811019787</v>
      </c>
      <c r="D48" s="57">
        <f>'Scenario 1'!N47</f>
        <v>517.39617811019787</v>
      </c>
      <c r="E48" s="57">
        <f>'Scenario 2'!L47</f>
        <v>449.84881567847697</v>
      </c>
      <c r="F48" s="57">
        <f>'Scenario 2'!M47</f>
        <v>633.87787663785377</v>
      </c>
      <c r="G48" s="57">
        <f>'Scenario 2'!N47</f>
        <v>342.55188625654074</v>
      </c>
      <c r="H48" s="5"/>
      <c r="I48" s="8"/>
    </row>
    <row r="49" spans="1:9" x14ac:dyDescent="0.2">
      <c r="B49" s="1"/>
    </row>
    <row r="50" spans="1:9" x14ac:dyDescent="0.2">
      <c r="B50" s="1"/>
    </row>
    <row r="51" spans="1:9" x14ac:dyDescent="0.2">
      <c r="A51" s="10"/>
      <c r="B51" s="1"/>
      <c r="H51" s="4"/>
      <c r="I51" s="4"/>
    </row>
    <row r="52" spans="1:9" ht="15.75" x14ac:dyDescent="0.25">
      <c r="A52" s="61" t="s">
        <v>90</v>
      </c>
      <c r="B52" s="1"/>
      <c r="H52" s="4"/>
      <c r="I52" s="4"/>
    </row>
    <row r="53" spans="1:9" x14ac:dyDescent="0.2">
      <c r="A53" s="10"/>
      <c r="B53" s="1"/>
      <c r="H53" s="4"/>
      <c r="I53" s="4"/>
    </row>
    <row r="54" spans="1:9" x14ac:dyDescent="0.2">
      <c r="B54" s="1"/>
      <c r="C54" s="58" t="s">
        <v>7</v>
      </c>
      <c r="D54" s="58" t="s">
        <v>10</v>
      </c>
    </row>
    <row r="55" spans="1:9" x14ac:dyDescent="0.2">
      <c r="B55" s="9" t="s">
        <v>88</v>
      </c>
      <c r="C55" s="59">
        <f>'Scenario 1'!D60</f>
        <v>2499.9999999999927</v>
      </c>
      <c r="D55" s="59">
        <f>'Scenario 2'!D60</f>
        <v>8353.9848869530106</v>
      </c>
    </row>
    <row r="56" spans="1:9" x14ac:dyDescent="0.2">
      <c r="B56" s="9" t="s">
        <v>89</v>
      </c>
      <c r="C56" s="60">
        <f>'Scenario 1'!D69</f>
        <v>1.3578181321048457</v>
      </c>
      <c r="D56" s="60">
        <f>'Scenario 2'!D69</f>
        <v>10.280295663647134</v>
      </c>
    </row>
    <row r="57" spans="1:9" x14ac:dyDescent="0.2">
      <c r="B57" s="1"/>
    </row>
    <row r="58" spans="1:9" x14ac:dyDescent="0.2">
      <c r="B58" s="1"/>
    </row>
    <row r="59" spans="1:9" x14ac:dyDescent="0.2">
      <c r="B59" s="1"/>
    </row>
    <row r="60" spans="1:9" x14ac:dyDescent="0.2">
      <c r="B60" s="1"/>
    </row>
    <row r="61" spans="1:9" x14ac:dyDescent="0.2">
      <c r="B61" s="1"/>
    </row>
    <row r="62" spans="1:9" x14ac:dyDescent="0.2">
      <c r="B62" s="1"/>
    </row>
    <row r="63" spans="1:9" x14ac:dyDescent="0.2">
      <c r="B63" s="1"/>
    </row>
    <row r="64" spans="1:9" x14ac:dyDescent="0.2">
      <c r="B64" s="1"/>
    </row>
    <row r="65" spans="2:2" x14ac:dyDescent="0.2">
      <c r="B65" s="1"/>
    </row>
    <row r="66" spans="2:2" x14ac:dyDescent="0.2">
      <c r="B66" s="1"/>
    </row>
    <row r="67" spans="2:2" x14ac:dyDescent="0.2">
      <c r="B67" s="1"/>
    </row>
    <row r="68" spans="2:2" x14ac:dyDescent="0.2">
      <c r="B68" s="1"/>
    </row>
  </sheetData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Parameters</vt:lpstr>
      <vt:lpstr>Scenario 1</vt:lpstr>
      <vt:lpstr>Scenario 2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Lindsay Smitherman</dc:creator>
  <cp:lastModifiedBy>Windows User</cp:lastModifiedBy>
  <dcterms:created xsi:type="dcterms:W3CDTF">2009-11-12T17:27:52Z</dcterms:created>
  <dcterms:modified xsi:type="dcterms:W3CDTF">2016-04-15T12:04:49Z</dcterms:modified>
</cp:coreProperties>
</file>