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1560" windowWidth="11625" windowHeight="7545" activeTab="1"/>
  </bookViews>
  <sheets>
    <sheet name="notes" sheetId="1" r:id="rId1"/>
    <sheet name="fitLPISABR" sheetId="2" r:id="rId2"/>
  </sheets>
  <definedNames>
    <definedName name="cob_out">#REF!</definedName>
    <definedName name="cobdate" localSheetId="1">'fitLPISABR'!#REF!</definedName>
    <definedName name="cobdate">#REF!</definedName>
    <definedName name="DELTA_LADDERS" localSheetId="1">'fitLPISABR'!#REF!</definedName>
    <definedName name="DELTA_LADDERS">#REF!</definedName>
    <definedName name="LPI_02.5_10Y">#REF!</definedName>
    <definedName name="LPI_02.5_15Y">#REF!</definedName>
    <definedName name="LPI_02.5_20Y">#REF!</definedName>
    <definedName name="LPI_02.5_25Y">#REF!</definedName>
    <definedName name="LPI_02.5_30Y">#REF!</definedName>
    <definedName name="LPI_02.5_40Y">#REF!</definedName>
    <definedName name="LPI_02.5_50Y">#REF!</definedName>
    <definedName name="LPI_02.5_5Y">#REF!</definedName>
    <definedName name="LPI_03_10Y">#REF!</definedName>
    <definedName name="LPI_03_15Y">#REF!</definedName>
    <definedName name="LPI_03_20Y">#REF!</definedName>
    <definedName name="LPI_03_25Y">#REF!</definedName>
    <definedName name="LPI_03_30Y">#REF!</definedName>
    <definedName name="LPI_03_40Y">#REF!</definedName>
    <definedName name="LPI_03_50Y">#REF!</definedName>
    <definedName name="LPI_03_5Y">#REF!</definedName>
    <definedName name="LPI_05_10Y">#REF!</definedName>
    <definedName name="LPI_05_15Y">#REF!</definedName>
    <definedName name="LPI_05_20Y">#REF!</definedName>
    <definedName name="LPI_05_25Y">#REF!</definedName>
    <definedName name="LPI_05_30Y">#REF!</definedName>
    <definedName name="LPI_05_40Y">#REF!</definedName>
    <definedName name="LPI_05_50Y">#REF!</definedName>
    <definedName name="LPI_05_5Y">#REF!</definedName>
    <definedName name="LPI_0INF_10Y">#REF!</definedName>
    <definedName name="LPI_0INF_15Y">#REF!</definedName>
    <definedName name="LPI_0INF_20Y">#REF!</definedName>
    <definedName name="LPI_0INF_25Y">#REF!</definedName>
    <definedName name="LPI_0INF_30Y">#REF!</definedName>
    <definedName name="LPI_0INF_40Y">#REF!</definedName>
    <definedName name="LPI_0INF_50Y">#REF!</definedName>
    <definedName name="LPI_0INF_5Y">#REF!</definedName>
    <definedName name="LPI_35_10Y">#REF!</definedName>
    <definedName name="LPI_35_15Y">#REF!</definedName>
    <definedName name="LPI_35_20Y">#REF!</definedName>
    <definedName name="LPI_35_25Y">#REF!</definedName>
    <definedName name="LPI_35_30Y">#REF!</definedName>
    <definedName name="LPI_35_40Y">#REF!</definedName>
    <definedName name="LPI_35_50Y">#REF!</definedName>
    <definedName name="LPI_35_5Y">#REF!</definedName>
    <definedName name="LPI025_out">#REF!</definedName>
    <definedName name="LPI025prev" localSheetId="1">'fitLPISABR'!#REF!</definedName>
    <definedName name="LPI025prev">#REF!</definedName>
    <definedName name="LPI025save" localSheetId="1">'fitLPISABR'!#REF!</definedName>
    <definedName name="LPI025save">#REF!</definedName>
    <definedName name="LPI025saveAC" localSheetId="1">'fitLPISABR'!#REF!</definedName>
    <definedName name="LPI025saveAC">#REF!</definedName>
    <definedName name="LPI025saveSABR" localSheetId="1">'fitLPISABR'!#REF!</definedName>
    <definedName name="LPI025saveSABR">#REF!</definedName>
    <definedName name="LPI03_out">#REF!</definedName>
    <definedName name="LPI03prev" localSheetId="1">'fitLPISABR'!#REF!</definedName>
    <definedName name="LPI03prev">#REF!</definedName>
    <definedName name="LPI03save" localSheetId="1">'fitLPISABR'!#REF!</definedName>
    <definedName name="LPI03save">#REF!</definedName>
    <definedName name="LPI03saveAC" localSheetId="1">'fitLPISABR'!#REF!</definedName>
    <definedName name="LPI03saveAC">#REF!</definedName>
    <definedName name="LPI03saveSABR" localSheetId="1">'fitLPISABR'!#REF!</definedName>
    <definedName name="LPI03saveSABR">#REF!</definedName>
    <definedName name="LPI05_out">#REF!</definedName>
    <definedName name="LPI05prev" localSheetId="1">'fitLPISABR'!#REF!</definedName>
    <definedName name="LPI05prev">#REF!</definedName>
    <definedName name="LPI05save" localSheetId="1">'fitLPISABR'!#REF!</definedName>
    <definedName name="LPI05save">#REF!</definedName>
    <definedName name="LPI05saveAC" localSheetId="1">'fitLPISABR'!#REF!</definedName>
    <definedName name="LPI05saveAC">#REF!</definedName>
    <definedName name="LPI05saveSABR" localSheetId="1">'fitLPISABR'!#REF!</definedName>
    <definedName name="LPI05saveSABR">#REF!</definedName>
    <definedName name="LPI0inf_out">#REF!</definedName>
    <definedName name="LPI0infprev" localSheetId="1">'fitLPISABR'!#REF!</definedName>
    <definedName name="LPI0infprev">#REF!</definedName>
    <definedName name="LPI0infsave" localSheetId="1">'fitLPISABR'!#REF!</definedName>
    <definedName name="LPI0infsave">#REF!</definedName>
    <definedName name="LPI0infsaveAC" localSheetId="1">'fitLPISABR'!#REF!</definedName>
    <definedName name="LPI0infsaveAC">#REF!</definedName>
    <definedName name="LPI0infsaveSABR" localSheetId="1">'fitLPISABR'!#REF!</definedName>
    <definedName name="LPI0infsaveSABR">#REF!</definedName>
    <definedName name="LPI35_out">#REF!</definedName>
    <definedName name="LPI35prev" localSheetId="1">'fitLPISABR'!#REF!</definedName>
    <definedName name="LPI35prev">#REF!</definedName>
    <definedName name="LPI35save" localSheetId="1">'fitLPISABR'!#REF!</definedName>
    <definedName name="LPI35save">#REF!</definedName>
    <definedName name="LPI35saveAC" localSheetId="1">'fitLPISABR'!#REF!</definedName>
    <definedName name="LPI35saveAC">#REF!</definedName>
    <definedName name="LPI35saveSABR" localSheetId="1">'fitLPISABR'!#REF!</definedName>
    <definedName name="LPI35saveSABR">#REF!</definedName>
    <definedName name="LPIheadings" localSheetId="1">'fitLPISABR'!#REF!</definedName>
    <definedName name="LPIheadings">#REF!</definedName>
    <definedName name="LPIspreads" localSheetId="1">'fitLPISABR'!#REF!</definedName>
    <definedName name="LPIspreads">#REF!</definedName>
    <definedName name="LPISUBJECT" localSheetId="1">'fitLPISABR'!#REF!</definedName>
    <definedName name="LPISUBJECT">#REF!</definedName>
    <definedName name="newspreads" localSheetId="1">'fitLPISABR'!#REF!</definedName>
    <definedName name="newspreads">#REF!</definedName>
    <definedName name="numits">'fitLPISABR'!$AP$13</definedName>
    <definedName name="offsetrow">#REF!</definedName>
    <definedName name="RECIPIENTS1" localSheetId="1">'fitLPISABR'!#REF!</definedName>
    <definedName name="RECIPIENTS1">#REF!</definedName>
    <definedName name="RECIPIENTS2" localSheetId="1">'fitLPISABR'!#REF!</definedName>
    <definedName name="RECIPIENTS2">#REF!</definedName>
    <definedName name="risklabels">#REF!</definedName>
    <definedName name="RPI" localSheetId="1">'fitLPISABR'!#REF!</definedName>
    <definedName name="RPI">#REF!</definedName>
    <definedName name="RPIbase" localSheetId="1">'fitLPISABR'!#REF!</definedName>
    <definedName name="RPIbase">#REF!</definedName>
    <definedName name="RPIbase_out">#REF!</definedName>
    <definedName name="RPIbaseprev" localSheetId="1">'fitLPISABR'!#REF!</definedName>
    <definedName name="RPIbaseprev">#REF!</definedName>
    <definedName name="RPIprev" localSheetId="1">'fitLPISABR'!#REF!</definedName>
    <definedName name="RPIprev">#REF!</definedName>
    <definedName name="RPIrefs" localSheetId="1">'fitLPISABR'!#REF!</definedName>
    <definedName name="RPIrefs">#REF!</definedName>
    <definedName name="RPIzc" localSheetId="1">'fitLPISABR'!#REF!</definedName>
    <definedName name="RPIzc">#REF!</definedName>
    <definedName name="RPIzc_out">#REF!</definedName>
    <definedName name="RPIzcprev" localSheetId="1">'fitLPISABR'!#REF!</definedName>
    <definedName name="RPIzcprev">#REF!</definedName>
    <definedName name="SABRatmvol">'fitLPISABR'!$M$15</definedName>
    <definedName name="SABRfitcalcrange">'fitLPISABR'!$M$6:$AJ$66</definedName>
    <definedName name="SABRrho">'fitLPISABR'!$N$15</definedName>
    <definedName name="SABRvolvol">'fitLPISABR'!$O$15</definedName>
    <definedName name="savedate">#REF!</definedName>
    <definedName name="savedate_out">#REF!</definedName>
    <definedName name="savedate1" localSheetId="1">'fitLPISABR'!#REF!</definedName>
    <definedName name="savedate1">#REF!</definedName>
    <definedName name="sumsq">'fitLPISABR'!$AJ$15</definedName>
  </definedNames>
  <calcPr calcMode="manual" fullCalcOnLoad="1" calcCompleted="0" calcOnSave="0"/>
</workbook>
</file>

<file path=xl/comments2.xml><?xml version="1.0" encoding="utf-8"?>
<comments xmlns="http://schemas.openxmlformats.org/spreadsheetml/2006/main">
  <authors>
    <author>mark greenwood</author>
  </authors>
  <commentList>
    <comment ref="O15" authorId="0">
      <text>
        <r>
          <rPr>
            <b/>
            <sz val="8"/>
            <rFont val="Tahoma"/>
            <family val="0"/>
          </rPr>
          <t>calc field - DO NOT DISTURB</t>
        </r>
      </text>
    </comment>
    <comment ref="M15" authorId="0">
      <text>
        <r>
          <rPr>
            <b/>
            <sz val="8"/>
            <rFont val="Tahoma"/>
            <family val="0"/>
          </rPr>
          <t>calc field - DO NOT DISTURB</t>
        </r>
      </text>
    </comment>
    <comment ref="N15" authorId="0">
      <text>
        <r>
          <rPr>
            <b/>
            <sz val="8"/>
            <rFont val="Tahoma"/>
            <family val="0"/>
          </rPr>
          <t>calc field - DO NOT DISTURB</t>
        </r>
      </text>
    </comment>
  </commentList>
</comments>
</file>

<file path=xl/sharedStrings.xml><?xml version="1.0" encoding="utf-8"?>
<sst xmlns="http://schemas.openxmlformats.org/spreadsheetml/2006/main" count="95" uniqueCount="53">
  <si>
    <t>LPI[0,5]</t>
  </si>
  <si>
    <t>LPI[0,3]</t>
  </si>
  <si>
    <t>LPI[0,inf]</t>
  </si>
  <si>
    <t>LPI[0,2.5]</t>
  </si>
  <si>
    <t>LPI[3,5]</t>
  </si>
  <si>
    <t>RPI</t>
  </si>
  <si>
    <t>tenor</t>
  </si>
  <si>
    <t>option time</t>
  </si>
  <si>
    <t>pay date</t>
  </si>
  <si>
    <t>index date</t>
  </si>
  <si>
    <t>last published RPI</t>
  </si>
  <si>
    <t>RPI zc swap base</t>
  </si>
  <si>
    <t>naïve</t>
  </si>
  <si>
    <t>y/y fwd</t>
  </si>
  <si>
    <t>proj</t>
  </si>
  <si>
    <t>SABR</t>
  </si>
  <si>
    <t>atmvol</t>
  </si>
  <si>
    <t>rho</t>
  </si>
  <si>
    <t>sigma</t>
  </si>
  <si>
    <t>flr FV</t>
  </si>
  <si>
    <t>cap FV</t>
  </si>
  <si>
    <t>calc</t>
  </si>
  <si>
    <t>zc%</t>
  </si>
  <si>
    <t>RPI zc%</t>
  </si>
  <si>
    <t>notional</t>
  </si>
  <si>
    <t>RPI dv01</t>
  </si>
  <si>
    <t>£1million</t>
  </si>
  <si>
    <t>y/y%</t>
  </si>
  <si>
    <t>of fit</t>
  </si>
  <si>
    <t>goodness</t>
  </si>
  <si>
    <t>number of</t>
  </si>
  <si>
    <t>iterations</t>
  </si>
  <si>
    <t>valuation date</t>
  </si>
  <si>
    <r>
      <t xml:space="preserve">Tab </t>
    </r>
    <r>
      <rPr>
        <b/>
        <sz val="10"/>
        <rFont val="Arial"/>
        <family val="2"/>
      </rPr>
      <t>fitLPISABR</t>
    </r>
    <r>
      <rPr>
        <sz val="10"/>
        <rFont val="Arial"/>
        <family val="0"/>
      </rPr>
      <t xml:space="preserve"> fits a simple LPI model based on SABR normal RPI y/y options volatilities</t>
    </r>
  </si>
  <si>
    <t xml:space="preserve">in columns G and H ensure LIBOR discount factors and projected RPI from RPI zc swaps are updated or linked into your model </t>
  </si>
  <si>
    <t xml:space="preserve"> (strictly speaking only LPI[0,5], [0,3] and [0,inf] are needed since the solver is set up to only fit to these, see column AJ for total fitting error to these 3 points)</t>
  </si>
  <si>
    <t>in columns AK to AO enter the mid market LPI spreads for each of the 5 strike combination at 5y intervals (5y, 10y etc to 50y) as highlighted in purple</t>
  </si>
  <si>
    <t>in cell AP13 enter the number of steps the solver will use to try and fit SABR parameters in 5y intervals in columns M through O to the market data</t>
  </si>
  <si>
    <t>It may be necessary to increase the number of iterations to ensure a reasonable fit, but as long as the file is maintained every day the change</t>
  </si>
  <si>
    <t>in implied SABR parameters should only be small every day and only 10 interations or so will be needed to get a near perfect fit</t>
  </si>
  <si>
    <t>The advantage of this simple model is that is it very quick to compute and hence get delta and vega greeks out, bumping the RPI curve and vols.</t>
  </si>
  <si>
    <t>assumed</t>
  </si>
  <si>
    <t>zc rate</t>
  </si>
  <si>
    <t>spread</t>
  </si>
  <si>
    <t xml:space="preserve">FITTING A SIMPLE SABR LPI MODEL </t>
  </si>
  <si>
    <t>market</t>
  </si>
  <si>
    <t>maturity</t>
  </si>
  <si>
    <t>discount</t>
  </si>
  <si>
    <t>factor</t>
  </si>
  <si>
    <t>(bp error)</t>
  </si>
  <si>
    <t>MIDS</t>
  </si>
  <si>
    <t>enter the valuation date (often the previous close of business) in cell E10 and check the RPI swap base date in E11</t>
  </si>
  <si>
    <t>in cell E12 enter the last published RPI date. This ensures that time value in the options is measured from last RPI print (which is often equal to the base RPI date).</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</si>
</sst>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0_ ;[Red]\-0.0\ "/>
    <numFmt numFmtId="168" formatCode="[$-809]dd\ mmmm\ yyyy"/>
    <numFmt numFmtId="169" formatCode="0.0000"/>
    <numFmt numFmtId="170" formatCode="0.000"/>
    <numFmt numFmtId="171" formatCode="0.0"/>
    <numFmt numFmtId="172" formatCode="0.00000"/>
    <numFmt numFmtId="173" formatCode="_-* #,##0.0_-;\-* #,##0.0_-;_-* &quot;-&quot;??_-;_-@_-"/>
    <numFmt numFmtId="174" formatCode="_-* #,##0_-;\-* #,##0_-;_-* &quot;-&quot;??_-;_-@_-"/>
    <numFmt numFmtId="175" formatCode="_-* #,##0.00000_-;\-* #,##0.00000_-;_-* &quot;-&quot;?????_-;_-@_-"/>
    <numFmt numFmtId="176" formatCode="#,##0_ ;[Red]\-#,##0\ "/>
    <numFmt numFmtId="177" formatCode="0.00000%"/>
    <numFmt numFmtId="178" formatCode="#,##0.0_ ;\-#,##0.0\ "/>
    <numFmt numFmtId="179" formatCode="_-* #,##0.000_-;\-* #,##0.000_-;_-* &quot;-&quot;??_-;_-@_-"/>
    <numFmt numFmtId="180" formatCode="_-* #,##0.000_-;\-* #,##0.000_-;_-* &quot;-&quot;???_-;_-@_-"/>
    <numFmt numFmtId="181" formatCode="#,##0.00_ ;\-#,##0.00\ "/>
    <numFmt numFmtId="182" formatCode="#,##0.000_ ;\-#,##0.000\ "/>
    <numFmt numFmtId="183" formatCode="_-* #,##0.0000_-;\-* #,##0.0000_-;_-* &quot;-&quot;??_-;_-@_-"/>
    <numFmt numFmtId="184" formatCode="_-* #,##0.00000_-;\-* #,##0.00000_-;_-* &quot;-&quot;??_-;_-@_-"/>
    <numFmt numFmtId="185" formatCode="0.000000"/>
    <numFmt numFmtId="186" formatCode="0&quot;y&quot;"/>
    <numFmt numFmtId="187" formatCode="dd\-mmm\-yyyy"/>
    <numFmt numFmtId="188" formatCode="#,##0_);\(#,##0\)"/>
    <numFmt numFmtId="189" formatCode="#,##0.0_);\(#,##0.0\)"/>
    <numFmt numFmtId="190" formatCode="#,##0_ ;\-#,##0\ "/>
    <numFmt numFmtId="191" formatCode="[Blue]#,##0_ ;[Red]\-#,##0\ "/>
    <numFmt numFmtId="192" formatCode="0.0000000"/>
    <numFmt numFmtId="193" formatCode="[Blue]#,##0.0_ ;[Red]\-#,##0.0\ "/>
  </numFmts>
  <fonts count="5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color indexed="23"/>
      <name val="Arial"/>
      <family val="2"/>
    </font>
    <font>
      <b/>
      <sz val="8"/>
      <name val="Tahoma"/>
      <family val="0"/>
    </font>
    <font>
      <b/>
      <sz val="10"/>
      <color indexed="10"/>
      <name val="Arial"/>
      <family val="2"/>
    </font>
    <font>
      <b/>
      <sz val="10"/>
      <color indexed="43"/>
      <name val="Arial"/>
      <family val="2"/>
    </font>
    <font>
      <sz val="10"/>
      <color indexed="18"/>
      <name val="Arial"/>
      <family val="0"/>
    </font>
    <font>
      <b/>
      <sz val="16"/>
      <name val="Arial"/>
      <family val="2"/>
    </font>
    <font>
      <b/>
      <sz val="10"/>
      <color indexed="20"/>
      <name val="Arial"/>
      <family val="2"/>
    </font>
    <font>
      <b/>
      <sz val="14"/>
      <name val="Arial"/>
      <family val="2"/>
    </font>
    <font>
      <b/>
      <sz val="10"/>
      <color indexed="12"/>
      <name val="Arial"/>
      <family val="2"/>
    </font>
    <font>
      <b/>
      <sz val="10"/>
      <color indexed="9"/>
      <name val="Arial"/>
      <family val="2"/>
    </font>
    <font>
      <sz val="1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8"/>
      <name val="Arial"/>
      <family val="0"/>
    </font>
    <font>
      <sz val="12.85"/>
      <color indexed="8"/>
      <name val="Arial"/>
      <family val="0"/>
    </font>
    <font>
      <b/>
      <sz val="11.5"/>
      <color indexed="8"/>
      <name val="Arial"/>
      <family val="0"/>
    </font>
    <font>
      <b/>
      <sz val="1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
      <patternFill patternType="solid">
        <fgColor indexed="54"/>
        <bgColor indexed="64"/>
      </patternFill>
    </fill>
    <fill>
      <patternFill patternType="solid">
        <fgColor indexed="18"/>
        <bgColor indexed="64"/>
      </patternFill>
    </fill>
    <fill>
      <patternFill patternType="solid">
        <fgColor indexed="41"/>
        <bgColor indexed="64"/>
      </patternFill>
    </fill>
    <fill>
      <patternFill patternType="solid">
        <fgColor indexed="21"/>
        <bgColor indexed="64"/>
      </patternFill>
    </fill>
    <fill>
      <patternFill patternType="solid">
        <fgColor indexed="5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double"/>
      <right>
        <color indexed="63"/>
      </right>
      <top style="double"/>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double"/>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double"/>
      <right>
        <color indexed="63"/>
      </right>
      <top>
        <color indexed="63"/>
      </top>
      <bottom>
        <color indexed="63"/>
      </bottom>
    </border>
    <border>
      <left style="medium"/>
      <right style="thin"/>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double"/>
      <right>
        <color indexed="63"/>
      </right>
      <top>
        <color indexed="63"/>
      </top>
      <bottom style="thick"/>
    </border>
    <border>
      <left style="medium"/>
      <right style="thin"/>
      <top>
        <color indexed="63"/>
      </top>
      <bottom style="thick"/>
    </border>
    <border>
      <left style="thin"/>
      <right style="thin"/>
      <top>
        <color indexed="63"/>
      </top>
      <bottom style="thick"/>
    </border>
    <border>
      <left style="thin"/>
      <right style="medium"/>
      <top>
        <color indexed="63"/>
      </top>
      <bottom style="thick"/>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s>
  <cellStyleXfs count="63">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171" fontId="0" fillId="0" borderId="0" xfId="0" applyNumberFormat="1" applyAlignment="1">
      <alignment horizontal="center"/>
    </xf>
    <xf numFmtId="15" fontId="0" fillId="0" borderId="0" xfId="0" applyNumberFormat="1" applyBorder="1" applyAlignment="1" applyProtection="1">
      <alignment/>
      <protection locked="0"/>
    </xf>
    <xf numFmtId="15" fontId="2" fillId="0" borderId="0" xfId="0" applyNumberFormat="1" applyFont="1" applyBorder="1" applyAlignment="1" applyProtection="1">
      <alignment/>
      <protection locked="0"/>
    </xf>
    <xf numFmtId="15" fontId="0" fillId="0" borderId="10" xfId="0" applyNumberFormat="1" applyBorder="1" applyAlignment="1">
      <alignment/>
    </xf>
    <xf numFmtId="171" fontId="2" fillId="0" borderId="0" xfId="0" applyNumberFormat="1" applyFont="1" applyAlignment="1">
      <alignment horizontal="center"/>
    </xf>
    <xf numFmtId="0" fontId="2" fillId="0" borderId="11" xfId="0" applyFont="1" applyBorder="1" applyAlignment="1">
      <alignment horizontal="right"/>
    </xf>
    <xf numFmtId="0" fontId="2" fillId="0" borderId="11" xfId="0" applyFont="1" applyBorder="1" applyAlignment="1" applyProtection="1">
      <alignment horizontal="right"/>
      <protection locked="0"/>
    </xf>
    <xf numFmtId="0" fontId="2" fillId="0" borderId="11" xfId="0" applyFont="1" applyBorder="1" applyAlignment="1" applyProtection="1">
      <alignment/>
      <protection locked="0"/>
    </xf>
    <xf numFmtId="0" fontId="2" fillId="0" borderId="11" xfId="0" applyFont="1" applyBorder="1" applyAlignment="1" applyProtection="1">
      <alignment horizontal="center"/>
      <protection locked="0"/>
    </xf>
    <xf numFmtId="10" fontId="0" fillId="0" borderId="0" xfId="0" applyNumberFormat="1" applyBorder="1" applyAlignment="1" applyProtection="1">
      <alignment horizontal="center"/>
      <protection locked="0"/>
    </xf>
    <xf numFmtId="171" fontId="0" fillId="0" borderId="11" xfId="0" applyNumberFormat="1" applyBorder="1" applyAlignment="1">
      <alignment horizontal="center"/>
    </xf>
    <xf numFmtId="15" fontId="2" fillId="0" borderId="11" xfId="0" applyNumberFormat="1" applyFont="1" applyBorder="1" applyAlignment="1" applyProtection="1">
      <alignment/>
      <protection locked="0"/>
    </xf>
    <xf numFmtId="165" fontId="2" fillId="0" borderId="0" xfId="0" applyNumberFormat="1" applyFont="1" applyBorder="1" applyAlignment="1" applyProtection="1">
      <alignment horizontal="center"/>
      <protection locked="0"/>
    </xf>
    <xf numFmtId="165" fontId="0" fillId="0" borderId="0" xfId="0" applyNumberForma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165" fontId="2" fillId="0" borderId="0" xfId="59" applyNumberFormat="1" applyFont="1" applyAlignment="1">
      <alignment/>
    </xf>
    <xf numFmtId="0" fontId="0" fillId="0" borderId="0" xfId="0" applyAlignment="1" applyProtection="1">
      <alignment/>
      <protection locked="0"/>
    </xf>
    <xf numFmtId="11" fontId="0" fillId="0" borderId="0" xfId="0" applyNumberFormat="1" applyAlignment="1" applyProtection="1">
      <alignment/>
      <protection locked="0"/>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7" fillId="0" borderId="0" xfId="0" applyFont="1" applyAlignment="1">
      <alignment/>
    </xf>
    <xf numFmtId="0" fontId="2" fillId="0" borderId="0" xfId="0" applyFont="1" applyBorder="1" applyAlignment="1">
      <alignment horizontal="center"/>
    </xf>
    <xf numFmtId="174" fontId="0" fillId="0" borderId="0" xfId="42" applyNumberFormat="1" applyFont="1" applyBorder="1" applyAlignment="1" applyProtection="1">
      <alignment horizontal="center"/>
      <protection locked="0"/>
    </xf>
    <xf numFmtId="0" fontId="0" fillId="0" borderId="0" xfId="0" applyFont="1" applyAlignment="1">
      <alignment horizontal="center"/>
    </xf>
    <xf numFmtId="15" fontId="0" fillId="0" borderId="0" xfId="0" applyNumberFormat="1" applyAlignment="1" applyProtection="1">
      <alignment/>
      <protection locked="0"/>
    </xf>
    <xf numFmtId="15" fontId="8" fillId="33" borderId="10" xfId="0" applyNumberFormat="1" applyFont="1" applyFill="1" applyBorder="1" applyAlignment="1">
      <alignment/>
    </xf>
    <xf numFmtId="0" fontId="9" fillId="0" borderId="0" xfId="0" applyFont="1" applyAlignment="1">
      <alignment horizontal="right"/>
    </xf>
    <xf numFmtId="0" fontId="0" fillId="0" borderId="0" xfId="0" applyAlignment="1" quotePrefix="1">
      <alignment/>
    </xf>
    <xf numFmtId="15" fontId="0" fillId="34" borderId="15" xfId="0" applyNumberFormat="1" applyFill="1" applyBorder="1" applyAlignment="1">
      <alignment/>
    </xf>
    <xf numFmtId="0" fontId="2" fillId="0" borderId="0" xfId="0" applyFont="1" applyBorder="1" applyAlignment="1">
      <alignment/>
    </xf>
    <xf numFmtId="9" fontId="0" fillId="0" borderId="16" xfId="0" applyNumberFormat="1" applyBorder="1" applyAlignment="1">
      <alignment horizontal="center"/>
    </xf>
    <xf numFmtId="0" fontId="2" fillId="0" borderId="0" xfId="0" applyFont="1" applyFill="1" applyBorder="1" applyAlignment="1" applyProtection="1">
      <alignment horizontal="center"/>
      <protection locked="0"/>
    </xf>
    <xf numFmtId="10" fontId="0" fillId="0" borderId="0" xfId="59" applyNumberFormat="1" applyAlignment="1">
      <alignment/>
    </xf>
    <xf numFmtId="165" fontId="0" fillId="35" borderId="17" xfId="0" applyNumberFormat="1" applyFont="1" applyFill="1" applyBorder="1" applyAlignment="1" applyProtection="1">
      <alignment horizontal="center"/>
      <protection locked="0"/>
    </xf>
    <xf numFmtId="164" fontId="0" fillId="35" borderId="0" xfId="0" applyNumberFormat="1" applyFont="1" applyFill="1" applyBorder="1" applyAlignment="1" applyProtection="1">
      <alignment horizontal="center"/>
      <protection locked="0"/>
    </xf>
    <xf numFmtId="165" fontId="0" fillId="0" borderId="17" xfId="0" applyNumberFormat="1" applyFont="1" applyFill="1" applyBorder="1" applyAlignment="1" applyProtection="1">
      <alignment horizontal="center"/>
      <protection locked="0"/>
    </xf>
    <xf numFmtId="164" fontId="0" fillId="0" borderId="0" xfId="0" applyNumberFormat="1" applyFont="1" applyFill="1" applyBorder="1" applyAlignment="1" applyProtection="1">
      <alignment horizontal="center"/>
      <protection locked="0"/>
    </xf>
    <xf numFmtId="165" fontId="0" fillId="0" borderId="11" xfId="0" applyNumberFormat="1" applyBorder="1" applyAlignment="1" applyProtection="1">
      <alignment horizontal="center"/>
      <protection locked="0"/>
    </xf>
    <xf numFmtId="0" fontId="5" fillId="0" borderId="16" xfId="0" applyFont="1" applyBorder="1" applyAlignment="1">
      <alignment horizontal="center"/>
    </xf>
    <xf numFmtId="0" fontId="5" fillId="0" borderId="0" xfId="0" applyFont="1" applyBorder="1" applyAlignment="1">
      <alignment/>
    </xf>
    <xf numFmtId="0" fontId="5" fillId="0" borderId="11" xfId="0" applyFont="1" applyBorder="1" applyAlignment="1" applyProtection="1">
      <alignment horizontal="center"/>
      <protection locked="0"/>
    </xf>
    <xf numFmtId="10" fontId="5" fillId="0" borderId="0" xfId="0" applyNumberFormat="1" applyFont="1" applyBorder="1" applyAlignment="1">
      <alignment/>
    </xf>
    <xf numFmtId="10" fontId="5" fillId="0" borderId="11" xfId="0" applyNumberFormat="1" applyFont="1" applyBorder="1" applyAlignment="1">
      <alignment/>
    </xf>
    <xf numFmtId="0" fontId="0" fillId="34" borderId="18"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0" xfId="0" applyFill="1" applyBorder="1" applyAlignment="1">
      <alignment/>
    </xf>
    <xf numFmtId="0" fontId="0" fillId="34" borderId="19" xfId="0" applyFill="1" applyBorder="1" applyAlignment="1">
      <alignment/>
    </xf>
    <xf numFmtId="0" fontId="5" fillId="34" borderId="18" xfId="0" applyFont="1" applyFill="1" applyBorder="1" applyAlignment="1">
      <alignment horizontal="center"/>
    </xf>
    <xf numFmtId="9" fontId="0" fillId="34" borderId="16" xfId="0" applyNumberFormat="1" applyFill="1" applyBorder="1" applyAlignment="1">
      <alignment horizontal="center"/>
    </xf>
    <xf numFmtId="9" fontId="0" fillId="34" borderId="20" xfId="0" applyNumberFormat="1" applyFill="1" applyBorder="1" applyAlignment="1">
      <alignment horizontal="center"/>
    </xf>
    <xf numFmtId="9" fontId="2" fillId="34" borderId="17" xfId="0" applyNumberFormat="1" applyFont="1" applyFill="1" applyBorder="1" applyAlignment="1">
      <alignment horizontal="center"/>
    </xf>
    <xf numFmtId="9" fontId="2" fillId="34" borderId="0" xfId="0" applyNumberFormat="1" applyFont="1" applyFill="1" applyBorder="1" applyAlignment="1">
      <alignment horizontal="center"/>
    </xf>
    <xf numFmtId="164" fontId="2" fillId="34" borderId="21" xfId="0" applyNumberFormat="1" applyFont="1" applyFill="1" applyBorder="1" applyAlignment="1">
      <alignment horizontal="center"/>
    </xf>
    <xf numFmtId="164" fontId="2" fillId="34" borderId="18" xfId="0" applyNumberFormat="1" applyFont="1" applyFill="1" applyBorder="1" applyAlignment="1">
      <alignment horizontal="center"/>
    </xf>
    <xf numFmtId="0" fontId="5" fillId="34" borderId="17" xfId="0" applyFont="1" applyFill="1" applyBorder="1" applyAlignment="1">
      <alignment/>
    </xf>
    <xf numFmtId="0" fontId="2" fillId="34" borderId="0" xfId="0" applyFont="1" applyFill="1" applyBorder="1" applyAlignment="1">
      <alignment/>
    </xf>
    <xf numFmtId="0" fontId="2" fillId="34" borderId="19" xfId="0" applyFont="1" applyFill="1" applyBorder="1" applyAlignment="1">
      <alignment/>
    </xf>
    <xf numFmtId="0" fontId="2" fillId="34" borderId="22" xfId="0" applyFont="1" applyFill="1" applyBorder="1" applyAlignment="1" applyProtection="1">
      <alignment horizontal="center"/>
      <protection locked="0"/>
    </xf>
    <xf numFmtId="0" fontId="2" fillId="34" borderId="11" xfId="0" applyFont="1" applyFill="1" applyBorder="1" applyAlignment="1" applyProtection="1">
      <alignment horizontal="center"/>
      <protection locked="0"/>
    </xf>
    <xf numFmtId="0" fontId="2" fillId="34" borderId="23" xfId="0" applyFont="1" applyFill="1" applyBorder="1" applyAlignment="1" applyProtection="1">
      <alignment horizontal="center"/>
      <protection locked="0"/>
    </xf>
    <xf numFmtId="0" fontId="5" fillId="34" borderId="22" xfId="0" applyFont="1" applyFill="1" applyBorder="1" applyAlignment="1" applyProtection="1">
      <alignment horizontal="center"/>
      <protection locked="0"/>
    </xf>
    <xf numFmtId="0" fontId="2" fillId="34" borderId="24" xfId="0" applyFont="1" applyFill="1" applyBorder="1" applyAlignment="1" applyProtection="1">
      <alignment horizontal="center"/>
      <protection locked="0"/>
    </xf>
    <xf numFmtId="10" fontId="0" fillId="34" borderId="17" xfId="0" applyNumberFormat="1" applyFill="1" applyBorder="1" applyAlignment="1" applyProtection="1">
      <alignment horizontal="center"/>
      <protection locked="0"/>
    </xf>
    <xf numFmtId="10" fontId="0" fillId="34" borderId="0" xfId="0" applyNumberFormat="1" applyFill="1" applyBorder="1" applyAlignment="1" applyProtection="1">
      <alignment horizontal="center"/>
      <protection locked="0"/>
    </xf>
    <xf numFmtId="165" fontId="0" fillId="34" borderId="0" xfId="0" applyNumberFormat="1" applyFont="1" applyFill="1" applyBorder="1" applyAlignment="1">
      <alignment horizontal="center"/>
    </xf>
    <xf numFmtId="10" fontId="5" fillId="34" borderId="17" xfId="0" applyNumberFormat="1" applyFont="1" applyFill="1" applyBorder="1" applyAlignment="1">
      <alignment/>
    </xf>
    <xf numFmtId="165" fontId="0" fillId="34" borderId="0" xfId="0" applyNumberFormat="1" applyFill="1" applyBorder="1" applyAlignment="1" applyProtection="1">
      <alignment horizontal="center"/>
      <protection locked="0"/>
    </xf>
    <xf numFmtId="165" fontId="0" fillId="34" borderId="19" xfId="0" applyNumberFormat="1" applyFill="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0" fontId="5" fillId="34" borderId="22" xfId="0" applyNumberFormat="1" applyFont="1" applyFill="1" applyBorder="1" applyAlignment="1">
      <alignment/>
    </xf>
    <xf numFmtId="165" fontId="2" fillId="34" borderId="11" xfId="0" applyNumberFormat="1" applyFont="1" applyFill="1" applyBorder="1" applyAlignment="1" applyProtection="1">
      <alignment horizontal="center"/>
      <protection locked="0"/>
    </xf>
    <xf numFmtId="165" fontId="0" fillId="34" borderId="24" xfId="0" applyNumberFormat="1" applyFill="1" applyBorder="1" applyAlignment="1" applyProtection="1">
      <alignment horizontal="center"/>
      <protection locked="0"/>
    </xf>
    <xf numFmtId="0" fontId="0" fillId="34" borderId="22" xfId="0" applyFill="1" applyBorder="1" applyAlignment="1">
      <alignment/>
    </xf>
    <xf numFmtId="0" fontId="0" fillId="34" borderId="11" xfId="0" applyFill="1" applyBorder="1" applyAlignment="1">
      <alignment/>
    </xf>
    <xf numFmtId="0" fontId="0" fillId="34" borderId="24" xfId="0" applyFill="1" applyBorder="1" applyAlignment="1">
      <alignment/>
    </xf>
    <xf numFmtId="164" fontId="0" fillId="34" borderId="0" xfId="0" applyNumberFormat="1" applyFill="1" applyBorder="1" applyAlignment="1">
      <alignment/>
    </xf>
    <xf numFmtId="0" fontId="2" fillId="34" borderId="16" xfId="0" applyFont="1" applyFill="1" applyBorder="1" applyAlignment="1">
      <alignment horizontal="right"/>
    </xf>
    <xf numFmtId="0" fontId="0" fillId="36" borderId="21" xfId="0" applyFill="1" applyBorder="1" applyAlignment="1">
      <alignment/>
    </xf>
    <xf numFmtId="9" fontId="0" fillId="37" borderId="16" xfId="0" applyNumberFormat="1" applyFill="1" applyBorder="1" applyAlignment="1">
      <alignment horizontal="center"/>
    </xf>
    <xf numFmtId="164" fontId="0" fillId="37" borderId="20" xfId="0" applyNumberFormat="1" applyFill="1" applyBorder="1" applyAlignment="1">
      <alignment horizontal="center"/>
    </xf>
    <xf numFmtId="0" fontId="5" fillId="37" borderId="18" xfId="0" applyFont="1" applyFill="1" applyBorder="1" applyAlignment="1">
      <alignment horizontal="center"/>
    </xf>
    <xf numFmtId="0" fontId="2" fillId="37" borderId="0" xfId="0" applyFont="1" applyFill="1" applyBorder="1" applyAlignment="1">
      <alignment/>
    </xf>
    <xf numFmtId="0" fontId="2" fillId="37" borderId="19" xfId="0" applyFont="1" applyFill="1" applyBorder="1" applyAlignment="1">
      <alignment/>
    </xf>
    <xf numFmtId="0" fontId="5" fillId="37" borderId="17" xfId="0" applyFont="1" applyFill="1" applyBorder="1" applyAlignment="1">
      <alignment/>
    </xf>
    <xf numFmtId="0" fontId="2" fillId="37" borderId="11" xfId="0" applyFont="1" applyFill="1" applyBorder="1" applyAlignment="1" applyProtection="1">
      <alignment horizontal="center"/>
      <protection locked="0"/>
    </xf>
    <xf numFmtId="0" fontId="2" fillId="37" borderId="24" xfId="0" applyFont="1" applyFill="1" applyBorder="1" applyAlignment="1" applyProtection="1">
      <alignment horizontal="center"/>
      <protection locked="0"/>
    </xf>
    <xf numFmtId="0" fontId="5" fillId="37" borderId="22" xfId="0" applyFont="1" applyFill="1" applyBorder="1" applyAlignment="1" applyProtection="1">
      <alignment horizontal="center"/>
      <protection locked="0"/>
    </xf>
    <xf numFmtId="0" fontId="0" fillId="37" borderId="0" xfId="0" applyFill="1" applyBorder="1" applyAlignment="1">
      <alignment/>
    </xf>
    <xf numFmtId="0" fontId="0" fillId="37" borderId="19" xfId="0" applyFill="1" applyBorder="1" applyAlignment="1">
      <alignment/>
    </xf>
    <xf numFmtId="165" fontId="0" fillId="37" borderId="0" xfId="0" applyNumberFormat="1" applyFill="1" applyBorder="1" applyAlignment="1" applyProtection="1">
      <alignment horizontal="center"/>
      <protection locked="0"/>
    </xf>
    <xf numFmtId="165" fontId="0" fillId="37" borderId="19" xfId="0" applyNumberFormat="1" applyFill="1" applyBorder="1" applyAlignment="1" applyProtection="1">
      <alignment horizontal="center"/>
      <protection locked="0"/>
    </xf>
    <xf numFmtId="10" fontId="5" fillId="37" borderId="17" xfId="0" applyNumberFormat="1" applyFont="1" applyFill="1" applyBorder="1" applyAlignment="1">
      <alignment/>
    </xf>
    <xf numFmtId="165" fontId="2" fillId="37" borderId="0" xfId="0" applyNumberFormat="1" applyFont="1" applyFill="1" applyBorder="1" applyAlignment="1" applyProtection="1">
      <alignment horizontal="center"/>
      <protection locked="0"/>
    </xf>
    <xf numFmtId="165" fontId="2" fillId="37" borderId="11" xfId="0" applyNumberFormat="1" applyFont="1" applyFill="1" applyBorder="1" applyAlignment="1" applyProtection="1">
      <alignment horizontal="center"/>
      <protection locked="0"/>
    </xf>
    <xf numFmtId="165" fontId="0" fillId="37" borderId="24" xfId="0" applyNumberFormat="1" applyFill="1" applyBorder="1" applyAlignment="1" applyProtection="1">
      <alignment horizontal="center"/>
      <protection locked="0"/>
    </xf>
    <xf numFmtId="10" fontId="5" fillId="37" borderId="22" xfId="0" applyNumberFormat="1" applyFont="1" applyFill="1" applyBorder="1" applyAlignment="1">
      <alignment/>
    </xf>
    <xf numFmtId="0" fontId="2" fillId="38" borderId="11" xfId="0" applyFont="1" applyFill="1" applyBorder="1" applyAlignment="1" applyProtection="1">
      <alignment horizontal="center"/>
      <protection locked="0"/>
    </xf>
    <xf numFmtId="179" fontId="0" fillId="38" borderId="0" xfId="42" applyNumberFormat="1" applyFont="1" applyFill="1" applyBorder="1" applyAlignment="1" applyProtection="1">
      <alignment horizontal="center"/>
      <protection locked="0"/>
    </xf>
    <xf numFmtId="0" fontId="2" fillId="38" borderId="0" xfId="0" applyFont="1" applyFill="1" applyAlignment="1">
      <alignment horizontal="center"/>
    </xf>
    <xf numFmtId="43" fontId="0" fillId="38" borderId="0" xfId="42" applyFill="1" applyBorder="1" applyAlignment="1" applyProtection="1">
      <alignment horizontal="center"/>
      <protection locked="0"/>
    </xf>
    <xf numFmtId="43" fontId="0" fillId="38" borderId="11" xfId="42" applyFill="1" applyBorder="1" applyAlignment="1" applyProtection="1">
      <alignment horizontal="center"/>
      <protection locked="0"/>
    </xf>
    <xf numFmtId="43" fontId="0" fillId="38" borderId="0" xfId="42" applyFont="1" applyFill="1" applyBorder="1" applyAlignment="1" applyProtection="1">
      <alignment horizontal="center"/>
      <protection locked="0"/>
    </xf>
    <xf numFmtId="0" fontId="10" fillId="0" borderId="0" xfId="0" applyFont="1" applyAlignment="1">
      <alignment/>
    </xf>
    <xf numFmtId="0" fontId="0" fillId="36" borderId="24" xfId="0" applyFill="1" applyBorder="1" applyAlignment="1">
      <alignment/>
    </xf>
    <xf numFmtId="0" fontId="0" fillId="36" borderId="24" xfId="0" applyFill="1" applyBorder="1" applyAlignment="1">
      <alignment horizontal="center"/>
    </xf>
    <xf numFmtId="0" fontId="2" fillId="0" borderId="14" xfId="0" applyFont="1" applyBorder="1" applyAlignment="1">
      <alignment/>
    </xf>
    <xf numFmtId="0" fontId="2" fillId="0" borderId="25"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0" borderId="14" xfId="0" applyFont="1" applyBorder="1" applyAlignment="1">
      <alignment horizontal="center"/>
    </xf>
    <xf numFmtId="165" fontId="2" fillId="0" borderId="14" xfId="0" applyNumberFormat="1" applyFont="1" applyBorder="1" applyAlignment="1" applyProtection="1">
      <alignment horizontal="center"/>
      <protection locked="0"/>
    </xf>
    <xf numFmtId="15" fontId="2" fillId="0" borderId="14" xfId="0" applyNumberFormat="1" applyFont="1" applyBorder="1" applyAlignment="1" applyProtection="1">
      <alignment horizontal="center"/>
      <protection locked="0"/>
    </xf>
    <xf numFmtId="15" fontId="2" fillId="0" borderId="0" xfId="0" applyNumberFormat="1" applyFont="1" applyBorder="1" applyAlignment="1" applyProtection="1">
      <alignment horizontal="center"/>
      <protection locked="0"/>
    </xf>
    <xf numFmtId="15" fontId="2" fillId="0" borderId="14" xfId="0" applyNumberFormat="1" applyFont="1" applyBorder="1" applyAlignment="1">
      <alignment horizontal="center"/>
    </xf>
    <xf numFmtId="15" fontId="2" fillId="0" borderId="0" xfId="0" applyNumberFormat="1" applyFont="1" applyBorder="1" applyAlignment="1">
      <alignment horizontal="center"/>
    </xf>
    <xf numFmtId="0" fontId="0" fillId="0" borderId="0" xfId="0" applyAlignment="1">
      <alignment horizontal="center"/>
    </xf>
    <xf numFmtId="0" fontId="13" fillId="0" borderId="27" xfId="0" applyFont="1" applyBorder="1" applyAlignment="1">
      <alignment horizontal="center"/>
    </xf>
    <xf numFmtId="0" fontId="14" fillId="33" borderId="28" xfId="0" applyFont="1" applyFill="1" applyBorder="1" applyAlignment="1" quotePrefix="1">
      <alignment horizontal="left"/>
    </xf>
    <xf numFmtId="0" fontId="14" fillId="33" borderId="29" xfId="0" applyFont="1" applyFill="1" applyBorder="1" applyAlignment="1">
      <alignment horizontal="center"/>
    </xf>
    <xf numFmtId="0" fontId="14" fillId="33" borderId="30" xfId="0" applyFont="1" applyFill="1" applyBorder="1" applyAlignment="1">
      <alignment horizontal="center"/>
    </xf>
    <xf numFmtId="0" fontId="14" fillId="39" borderId="28" xfId="0" applyFont="1" applyFill="1" applyBorder="1" applyAlignment="1" quotePrefix="1">
      <alignment horizontal="left"/>
    </xf>
    <xf numFmtId="0" fontId="14" fillId="39" borderId="29" xfId="0" applyFont="1" applyFill="1" applyBorder="1" applyAlignment="1">
      <alignment horizontal="center"/>
    </xf>
    <xf numFmtId="0" fontId="14" fillId="39" borderId="30" xfId="0" applyFont="1" applyFill="1" applyBorder="1" applyAlignment="1">
      <alignment horizontal="center"/>
    </xf>
    <xf numFmtId="0" fontId="14" fillId="40" borderId="28" xfId="0" applyFont="1" applyFill="1" applyBorder="1" applyAlignment="1" quotePrefix="1">
      <alignment horizontal="left"/>
    </xf>
    <xf numFmtId="0" fontId="14" fillId="40" borderId="29" xfId="0" applyFont="1" applyFill="1" applyBorder="1" applyAlignment="1">
      <alignment horizontal="center"/>
    </xf>
    <xf numFmtId="0" fontId="14" fillId="40" borderId="30" xfId="0" applyFont="1" applyFill="1" applyBorder="1" applyAlignment="1">
      <alignment horizontal="center"/>
    </xf>
    <xf numFmtId="0" fontId="13" fillId="0" borderId="31" xfId="0" applyFont="1" applyBorder="1" applyAlignment="1">
      <alignment horizontal="center"/>
    </xf>
    <xf numFmtId="0" fontId="2" fillId="0" borderId="32" xfId="0" applyFont="1" applyBorder="1" applyAlignment="1">
      <alignment horizontal="center"/>
    </xf>
    <xf numFmtId="0" fontId="2" fillId="0" borderId="11" xfId="0" applyFont="1" applyBorder="1" applyAlignment="1">
      <alignment horizontal="center"/>
    </xf>
    <xf numFmtId="0" fontId="0" fillId="0" borderId="33" xfId="0" applyFont="1" applyFill="1" applyBorder="1" applyAlignment="1">
      <alignment horizontal="center"/>
    </xf>
    <xf numFmtId="0" fontId="2" fillId="0" borderId="34" xfId="0" applyFont="1" applyBorder="1" applyAlignment="1">
      <alignment horizontal="center"/>
    </xf>
    <xf numFmtId="165" fontId="2" fillId="41" borderId="35" xfId="59" applyNumberFormat="1" applyFont="1" applyFill="1" applyBorder="1" applyAlignment="1">
      <alignment horizontal="center"/>
    </xf>
    <xf numFmtId="165" fontId="2" fillId="34" borderId="36" xfId="59" applyNumberFormat="1" applyFont="1" applyFill="1" applyBorder="1" applyAlignment="1">
      <alignment horizontal="center"/>
    </xf>
    <xf numFmtId="165" fontId="0" fillId="0" borderId="37" xfId="59" applyNumberFormat="1" applyFont="1" applyFill="1" applyBorder="1" applyAlignment="1">
      <alignment horizontal="center"/>
    </xf>
    <xf numFmtId="165" fontId="2" fillId="41" borderId="38" xfId="59" applyNumberFormat="1" applyFont="1" applyFill="1" applyBorder="1" applyAlignment="1">
      <alignment horizontal="center"/>
    </xf>
    <xf numFmtId="0" fontId="2" fillId="0" borderId="39" xfId="0" applyFont="1" applyBorder="1" applyAlignment="1">
      <alignment horizontal="center"/>
    </xf>
    <xf numFmtId="165" fontId="2" fillId="41" borderId="40" xfId="59" applyNumberFormat="1" applyFont="1" applyFill="1" applyBorder="1" applyAlignment="1">
      <alignment horizontal="center"/>
    </xf>
    <xf numFmtId="165" fontId="2" fillId="34" borderId="41" xfId="59" applyNumberFormat="1" applyFont="1" applyFill="1" applyBorder="1" applyAlignment="1">
      <alignment horizontal="center"/>
    </xf>
    <xf numFmtId="165" fontId="0" fillId="0" borderId="42" xfId="59" applyNumberFormat="1" applyFont="1" applyFill="1" applyBorder="1" applyAlignment="1">
      <alignment horizontal="center"/>
    </xf>
    <xf numFmtId="0" fontId="3" fillId="0" borderId="0" xfId="53" applyAlignment="1" applyProtection="1">
      <alignment horizontal="center"/>
      <protection/>
    </xf>
    <xf numFmtId="0" fontId="0" fillId="0" borderId="11" xfId="0" applyBorder="1" applyAlignment="1">
      <alignment horizontal="center"/>
    </xf>
    <xf numFmtId="171" fontId="2" fillId="34" borderId="20" xfId="0" applyNumberFormat="1" applyFont="1" applyFill="1" applyBorder="1" applyAlignment="1">
      <alignment horizontal="center"/>
    </xf>
    <xf numFmtId="171" fontId="2" fillId="34" borderId="19" xfId="0" applyNumberFormat="1" applyFont="1" applyFill="1" applyBorder="1" applyAlignment="1">
      <alignment horizontal="center"/>
    </xf>
    <xf numFmtId="171" fontId="11" fillId="0" borderId="43" xfId="0" applyNumberFormat="1" applyFont="1" applyBorder="1" applyAlignment="1">
      <alignment horizontal="center"/>
    </xf>
    <xf numFmtId="171" fontId="2" fillId="0" borderId="43" xfId="0" applyNumberFormat="1" applyFont="1" applyBorder="1" applyAlignment="1">
      <alignment horizontal="center"/>
    </xf>
    <xf numFmtId="171" fontId="2" fillId="0" borderId="44" xfId="0" applyNumberFormat="1" applyFont="1" applyBorder="1" applyAlignment="1">
      <alignment horizontal="center"/>
    </xf>
    <xf numFmtId="171" fontId="11" fillId="0" borderId="45" xfId="0" applyNumberFormat="1" applyFont="1" applyBorder="1" applyAlignment="1">
      <alignment horizontal="center"/>
    </xf>
    <xf numFmtId="0" fontId="15" fillId="42" borderId="46" xfId="0" applyFont="1" applyFill="1" applyBorder="1" applyAlignment="1">
      <alignment horizontal="center"/>
    </xf>
    <xf numFmtId="0" fontId="15" fillId="42" borderId="47" xfId="0" applyFont="1" applyFill="1" applyBorder="1" applyAlignment="1">
      <alignment horizontal="center"/>
    </xf>
    <xf numFmtId="0" fontId="15" fillId="43" borderId="47" xfId="0" applyFont="1" applyFill="1" applyBorder="1" applyAlignment="1">
      <alignment horizontal="center"/>
    </xf>
    <xf numFmtId="0" fontId="14" fillId="42" borderId="47" xfId="0" applyFont="1" applyFill="1" applyBorder="1" applyAlignment="1">
      <alignment horizontal="center"/>
    </xf>
    <xf numFmtId="0" fontId="14" fillId="43" borderId="47" xfId="0" applyFont="1" applyFill="1" applyBorder="1" applyAlignment="1">
      <alignment horizontal="center"/>
    </xf>
    <xf numFmtId="165" fontId="2" fillId="0" borderId="0" xfId="0" applyNumberFormat="1" applyFont="1" applyFill="1" applyBorder="1" applyAlignment="1" applyProtection="1">
      <alignment horizontal="center"/>
      <protection locked="0"/>
    </xf>
    <xf numFmtId="0" fontId="2" fillId="0" borderId="0" xfId="0" applyFont="1" applyFill="1" applyBorder="1" applyAlignment="1">
      <alignment horizontal="center"/>
    </xf>
    <xf numFmtId="15" fontId="2" fillId="0" borderId="0" xfId="0" applyNumberFormat="1" applyFont="1" applyFill="1" applyBorder="1" applyAlignment="1" applyProtection="1">
      <alignment horizontal="center"/>
      <protection locked="0"/>
    </xf>
    <xf numFmtId="15" fontId="2" fillId="0" borderId="0" xfId="0" applyNumberFormat="1" applyFont="1" applyFill="1" applyBorder="1" applyAlignment="1">
      <alignment horizontal="center"/>
    </xf>
    <xf numFmtId="165" fontId="2" fillId="36" borderId="14" xfId="0" applyNumberFormat="1" applyFont="1" applyFill="1" applyBorder="1" applyAlignment="1" applyProtection="1">
      <alignment horizontal="center"/>
      <protection locked="0"/>
    </xf>
    <xf numFmtId="165" fontId="2" fillId="36" borderId="0" xfId="0" applyNumberFormat="1" applyFont="1" applyFill="1" applyBorder="1" applyAlignment="1" applyProtection="1">
      <alignment horizontal="center"/>
      <protection locked="0"/>
    </xf>
    <xf numFmtId="165" fontId="2" fillId="36" borderId="26"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indexed="9"/>
      </font>
      <fill>
        <patternFill>
          <bgColor indexed="10"/>
        </patternFill>
      </fill>
    </dxf>
    <dxf>
      <font>
        <b/>
        <i val="0"/>
        <color indexed="9"/>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color indexed="18"/>
      </font>
    </dxf>
    <dxf>
      <font>
        <b/>
        <i val="0"/>
        <color indexed="16"/>
      </font>
    </dxf>
    <dxf>
      <font>
        <b/>
        <i val="0"/>
      </font>
      <fill>
        <patternFill>
          <bgColor indexed="45"/>
        </patternFill>
      </fill>
    </dxf>
    <dxf>
      <font>
        <b/>
        <i val="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F6A6E"/>
      <rgbColor rgb="00F5A85B"/>
      <rgbColor rgb="00B494C6"/>
      <rgbColor rgb="00EDC85C"/>
      <rgbColor rgb="00BC9750"/>
      <rgbColor rgb="00B4BE64"/>
      <rgbColor rgb="003FB9AA"/>
      <rgbColor rgb="00B6B1AB"/>
      <rgbColor rgb="00000000"/>
      <rgbColor rgb="00C03A3F"/>
      <rgbColor rgb="00F68B1E"/>
      <rgbColor rgb="009C71B4"/>
      <rgbColor rgb="00E5B700"/>
      <rgbColor rgb="00A6791D"/>
      <rgbColor rgb="0000A291"/>
      <rgbColor rgb="009E9991"/>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5"/>
          <c:y val="0"/>
          <c:w val="0.9185"/>
          <c:h val="0.8545"/>
        </c:manualLayout>
      </c:layout>
      <c:scatterChart>
        <c:scatterStyle val="lineMarker"/>
        <c:varyColors val="0"/>
        <c:ser>
          <c:idx val="0"/>
          <c:order val="0"/>
          <c:tx>
            <c:v>[0,5] SABR simple LPI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fitLPISABR!$V$16:$V$65</c:f>
              <c:numCache/>
            </c:numRef>
          </c:yVal>
          <c:smooth val="0"/>
        </c:ser>
        <c:ser>
          <c:idx val="1"/>
          <c:order val="1"/>
          <c:tx>
            <c:v>[0,5] market</c:v>
          </c:tx>
          <c:spPr>
            <a:ln w="12700">
              <a:solidFill>
                <a:srgbClr val="333333"/>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3333"/>
              </a:solidFill>
              <a:ln>
                <a:solidFill>
                  <a:srgbClr val="333333"/>
                </a:solidFill>
              </a:ln>
              <a:effectLst>
                <a:outerShdw dist="35921" dir="2700000" algn="br">
                  <a:prstClr val="black"/>
                </a:outerShdw>
              </a:effectLst>
            </c:spPr>
          </c:marker>
          <c:yVal>
            <c:numRef>
              <c:f>fitLPISABR!$AK$16:$AK$65</c:f>
              <c:numCache/>
            </c:numRef>
          </c:yVal>
          <c:smooth val="0"/>
        </c:ser>
        <c:axId val="7884091"/>
        <c:axId val="3847956"/>
      </c:scatterChart>
      <c:valAx>
        <c:axId val="7884091"/>
        <c:scaling>
          <c:orientation val="minMax"/>
          <c:max val="50"/>
        </c:scaling>
        <c:axPos val="b"/>
        <c:title>
          <c:tx>
            <c:rich>
              <a:bodyPr vert="horz" rot="0" anchor="ctr"/>
              <a:lstStyle/>
              <a:p>
                <a:pPr algn="ctr">
                  <a:defRPr/>
                </a:pPr>
                <a:r>
                  <a:rPr lang="en-US" cap="none" sz="1400" b="1" i="0" u="none" baseline="0">
                    <a:solidFill>
                      <a:srgbClr val="000000"/>
                    </a:solidFill>
                    <a:latin typeface="Arial"/>
                    <a:ea typeface="Arial"/>
                    <a:cs typeface="Arial"/>
                  </a:rPr>
                  <a:t>maturity</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47956"/>
        <c:crosses val="autoZero"/>
        <c:crossBetween val="midCat"/>
        <c:dispUnits/>
      </c:valAx>
      <c:valAx>
        <c:axId val="3847956"/>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bp spread to RPI swap</a:t>
                </a:r>
              </a:p>
            </c:rich>
          </c:tx>
          <c:layout>
            <c:manualLayout>
              <c:xMode val="factor"/>
              <c:yMode val="factor"/>
              <c:x val="-0.0025"/>
              <c:y val="0.00075"/>
            </c:manualLayout>
          </c:layout>
          <c:overlay val="0"/>
          <c:spPr>
            <a:noFill/>
            <a:ln>
              <a:noFill/>
            </a:ln>
          </c:spPr>
        </c:title>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7884091"/>
        <c:crosses val="autoZero"/>
        <c:crossBetween val="midCat"/>
        <c:dispUnits/>
      </c:valAx>
      <c:spPr>
        <a:noFill/>
        <a:ln w="12700">
          <a:solidFill>
            <a:srgbClr val="808080"/>
          </a:solidFill>
        </a:ln>
      </c:spPr>
    </c:plotArea>
    <c:legend>
      <c:legendPos val="r"/>
      <c:layout>
        <c:manualLayout>
          <c:xMode val="edge"/>
          <c:yMode val="edge"/>
          <c:x val="0.201"/>
          <c:y val="0.0615"/>
          <c:w val="0.3635"/>
          <c:h val="0.189"/>
        </c:manualLayout>
      </c:layout>
      <c:overlay val="0"/>
      <c:spPr>
        <a:solidFill>
          <a:srgbClr val="FFFFFF"/>
        </a:solidFill>
        <a:ln w="3175">
          <a:solidFill>
            <a:srgbClr val="C0C0C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00" b="1"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
          <c:w val="0.94175"/>
          <c:h val="0.89625"/>
        </c:manualLayout>
      </c:layout>
      <c:scatterChart>
        <c:scatterStyle val="lineMarker"/>
        <c:varyColors val="0"/>
        <c:ser>
          <c:idx val="0"/>
          <c:order val="0"/>
          <c:tx>
            <c:v>[0,inf] SABR simple LPI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fitLPISABR!$AB$16:$AB$65</c:f>
              <c:numCache/>
            </c:numRef>
          </c:yVal>
          <c:smooth val="0"/>
        </c:ser>
        <c:ser>
          <c:idx val="2"/>
          <c:order val="1"/>
          <c:tx>
            <c:v>[0,inf] market</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8000"/>
              </a:solidFill>
              <a:ln>
                <a:solidFill>
                  <a:srgbClr val="008000"/>
                </a:solidFill>
              </a:ln>
            </c:spPr>
          </c:marker>
          <c:yVal>
            <c:numRef>
              <c:f>fitLPISABR!$AM$16:$AM$65</c:f>
              <c:numCache/>
            </c:numRef>
          </c:yVal>
          <c:smooth val="0"/>
        </c:ser>
        <c:axId val="34631605"/>
        <c:axId val="43248990"/>
      </c:scatterChart>
      <c:valAx>
        <c:axId val="34631605"/>
        <c:scaling>
          <c:orientation val="minMax"/>
          <c:max val="50"/>
        </c:scaling>
        <c:axPos val="b"/>
        <c:title>
          <c:tx>
            <c:rich>
              <a:bodyPr vert="horz" rot="0" anchor="ctr"/>
              <a:lstStyle/>
              <a:p>
                <a:pPr algn="ctr">
                  <a:defRPr/>
                </a:pPr>
                <a:r>
                  <a:rPr lang="en-US" cap="none" sz="1400" b="1" i="0" u="none" baseline="0">
                    <a:solidFill>
                      <a:srgbClr val="000000"/>
                    </a:solidFill>
                    <a:latin typeface="Arial"/>
                    <a:ea typeface="Arial"/>
                    <a:cs typeface="Arial"/>
                  </a:rPr>
                  <a:t>maturity</a:t>
                </a:r>
              </a:p>
            </c:rich>
          </c:tx>
          <c:layout>
            <c:manualLayout>
              <c:xMode val="factor"/>
              <c:yMode val="factor"/>
              <c:x val="0.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248990"/>
        <c:crosses val="autoZero"/>
        <c:crossBetween val="midCat"/>
        <c:dispUnits/>
      </c:valAx>
      <c:valAx>
        <c:axId val="4324899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bp spread to RPI swap</a:t>
                </a:r>
              </a:p>
            </c:rich>
          </c:tx>
          <c:layout>
            <c:manualLayout>
              <c:xMode val="factor"/>
              <c:yMode val="factor"/>
              <c:x val="-0.00275"/>
              <c:y val="0.00225"/>
            </c:manualLayout>
          </c:layout>
          <c:overlay val="0"/>
          <c:spPr>
            <a:noFill/>
            <a:ln>
              <a:noFill/>
            </a:ln>
          </c:spPr>
        </c:title>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34631605"/>
        <c:crosses val="autoZero"/>
        <c:crossBetween val="midCat"/>
        <c:dispUnits/>
        <c:majorUnit val="0.001"/>
      </c:valAx>
      <c:spPr>
        <a:noFill/>
        <a:ln w="12700">
          <a:solidFill>
            <a:srgbClr val="808080"/>
          </a:solidFill>
        </a:ln>
      </c:spPr>
    </c:plotArea>
    <c:legend>
      <c:legendPos val="r"/>
      <c:layout>
        <c:manualLayout>
          <c:xMode val="edge"/>
          <c:yMode val="edge"/>
          <c:x val="0.57975"/>
          <c:y val="0.56425"/>
          <c:w val="0.32975"/>
          <c:h val="0.16275"/>
        </c:manualLayout>
      </c:layout>
      <c:overlay val="0"/>
      <c:spPr>
        <a:solidFill>
          <a:srgbClr val="FFFFFF"/>
        </a:solidFill>
        <a:ln w="3175">
          <a:solidFill>
            <a:srgbClr val="C0C0C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00"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2"/>
          <c:w val="0.97875"/>
          <c:h val="0.958"/>
        </c:manualLayout>
      </c:layout>
      <c:scatterChart>
        <c:scatterStyle val="lineMarker"/>
        <c:varyColors val="0"/>
        <c:ser>
          <c:idx val="0"/>
          <c:order val="0"/>
          <c:tx>
            <c:v>SABR atmvol, LHS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yVal>
            <c:numRef>
              <c:f>fitLPISABR!$M$16:$M$65</c:f>
              <c:numCache/>
            </c:numRef>
          </c:yVal>
          <c:smooth val="0"/>
        </c:ser>
        <c:axId val="53696591"/>
        <c:axId val="13507272"/>
      </c:scatterChart>
      <c:scatterChart>
        <c:scatterStyle val="lineMarker"/>
        <c:varyColors val="0"/>
        <c:ser>
          <c:idx val="1"/>
          <c:order val="1"/>
          <c:tx>
            <c:v>SABR skew, rho, RHS</c:v>
          </c:tx>
          <c:spPr>
            <a:ln w="38100">
              <a:solidFill>
                <a:srgbClr val="C03A3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C03A3F"/>
              </a:solidFill>
              <a:ln>
                <a:solidFill>
                  <a:srgbClr val="C03A3F"/>
                </a:solidFill>
              </a:ln>
            </c:spPr>
          </c:marker>
          <c:yVal>
            <c:numRef>
              <c:f>fitLPISABR!$N$16:$N$65</c:f>
              <c:numCache/>
            </c:numRef>
          </c:yVal>
          <c:smooth val="0"/>
        </c:ser>
        <c:ser>
          <c:idx val="2"/>
          <c:order val="2"/>
          <c:tx>
            <c:v>SABR smile, sigma, RHS</c:v>
          </c:tx>
          <c:spPr>
            <a:ln w="38100">
              <a:solidFill>
                <a:srgbClr val="F68B1E"/>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68B1E"/>
              </a:solidFill>
              <a:ln>
                <a:solidFill>
                  <a:srgbClr val="F68B1E"/>
                </a:solidFill>
              </a:ln>
            </c:spPr>
          </c:marker>
          <c:yVal>
            <c:numRef>
              <c:f>fitLPISABR!$O$16:$O$65</c:f>
              <c:numCache/>
            </c:numRef>
          </c:yVal>
          <c:smooth val="0"/>
        </c:ser>
        <c:axId val="54456585"/>
        <c:axId val="20347218"/>
      </c:scatterChart>
      <c:valAx>
        <c:axId val="53696591"/>
        <c:scaling>
          <c:orientation val="minMax"/>
          <c:max val="50"/>
        </c:scaling>
        <c:axPos val="b"/>
        <c:delete val="0"/>
        <c:numFmt formatCode="General" sourceLinked="1"/>
        <c:majorTickMark val="out"/>
        <c:minorTickMark val="none"/>
        <c:tickLblPos val="nextTo"/>
        <c:spPr>
          <a:ln w="3175">
            <a:solidFill>
              <a:srgbClr val="000000"/>
            </a:solidFill>
          </a:ln>
        </c:spPr>
        <c:crossAx val="13507272"/>
        <c:crosses val="autoZero"/>
        <c:crossBetween val="midCat"/>
        <c:dispUnits/>
      </c:valAx>
      <c:valAx>
        <c:axId val="13507272"/>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crossAx val="53696591"/>
        <c:crosses val="autoZero"/>
        <c:crossBetween val="midCat"/>
        <c:dispUnits/>
      </c:valAx>
      <c:valAx>
        <c:axId val="54456585"/>
        <c:scaling>
          <c:orientation val="minMax"/>
        </c:scaling>
        <c:axPos val="b"/>
        <c:delete val="1"/>
        <c:majorTickMark val="out"/>
        <c:minorTickMark val="none"/>
        <c:tickLblPos val="none"/>
        <c:crossAx val="20347218"/>
        <c:crosses val="max"/>
        <c:crossBetween val="midCat"/>
        <c:dispUnits/>
      </c:valAx>
      <c:valAx>
        <c:axId val="20347218"/>
        <c:scaling>
          <c:orientation val="minMax"/>
        </c:scaling>
        <c:axPos val="l"/>
        <c:delete val="0"/>
        <c:numFmt formatCode="0%" sourceLinked="0"/>
        <c:majorTickMark val="cross"/>
        <c:minorTickMark val="none"/>
        <c:tickLblPos val="nextTo"/>
        <c:spPr>
          <a:ln w="3175">
            <a:solidFill>
              <a:srgbClr val="000000"/>
            </a:solidFill>
          </a:ln>
        </c:spPr>
        <c:crossAx val="54456585"/>
        <c:crosses val="max"/>
        <c:crossBetween val="midCat"/>
        <c:dispUnits/>
      </c:valAx>
      <c:spPr>
        <a:noFill/>
        <a:ln w="12700">
          <a:solidFill>
            <a:srgbClr val="808080"/>
          </a:solidFill>
        </a:ln>
      </c:spPr>
    </c:plotArea>
    <c:legend>
      <c:legendPos val="r"/>
      <c:layout>
        <c:manualLayout>
          <c:xMode val="edge"/>
          <c:yMode val="edge"/>
          <c:x val="0.65575"/>
          <c:y val="0.0105"/>
          <c:w val="0.343"/>
          <c:h val="0.16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
          <c:w val="0.93825"/>
          <c:h val="0.89075"/>
        </c:manualLayout>
      </c:layout>
      <c:scatterChart>
        <c:scatterStyle val="lineMarker"/>
        <c:varyColors val="0"/>
        <c:ser>
          <c:idx val="0"/>
          <c:order val="0"/>
          <c:tx>
            <c:v>[0,3] SABR simple LPI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fitLPISABR!$Y$16:$Y$65</c:f>
              <c:numCache/>
            </c:numRef>
          </c:yVal>
          <c:smooth val="0"/>
        </c:ser>
        <c:ser>
          <c:idx val="1"/>
          <c:order val="1"/>
          <c:tx>
            <c:v>[0,3] market</c:v>
          </c:tx>
          <c:spPr>
            <a:ln w="12700">
              <a:solidFill>
                <a:srgbClr val="333333"/>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a:effectLst>
                <a:outerShdw dist="35921" dir="2700000" algn="br">
                  <a:prstClr val="black"/>
                </a:outerShdw>
              </a:effectLst>
            </c:spPr>
          </c:marker>
          <c:yVal>
            <c:numRef>
              <c:f>fitLPISABR!$AL$16:$AL$65</c:f>
              <c:numCache/>
            </c:numRef>
          </c:yVal>
          <c:smooth val="0"/>
        </c:ser>
        <c:axId val="48907235"/>
        <c:axId val="37511932"/>
      </c:scatterChart>
      <c:valAx>
        <c:axId val="48907235"/>
        <c:scaling>
          <c:orientation val="minMax"/>
          <c:max val="50"/>
        </c:scaling>
        <c:axPos val="b"/>
        <c:title>
          <c:tx>
            <c:rich>
              <a:bodyPr vert="horz" rot="0" anchor="ctr"/>
              <a:lstStyle/>
              <a:p>
                <a:pPr algn="ctr">
                  <a:defRPr/>
                </a:pPr>
                <a:r>
                  <a:rPr lang="en-US" cap="none" sz="1400" b="1" i="0" u="none" baseline="0">
                    <a:solidFill>
                      <a:srgbClr val="000000"/>
                    </a:solidFill>
                    <a:latin typeface="Arial"/>
                    <a:ea typeface="Arial"/>
                    <a:cs typeface="Arial"/>
                  </a:rPr>
                  <a:t>maturity</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7511932"/>
        <c:crosses val="autoZero"/>
        <c:crossBetween val="midCat"/>
        <c:dispUnits/>
      </c:valAx>
      <c:valAx>
        <c:axId val="3751193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bp spread to RPI swap</a:t>
                </a:r>
              </a:p>
            </c:rich>
          </c:tx>
          <c:layout>
            <c:manualLayout>
              <c:xMode val="factor"/>
              <c:yMode val="factor"/>
              <c:x val="-0.00275"/>
              <c:y val="0.002"/>
            </c:manualLayout>
          </c:layout>
          <c:overlay val="0"/>
          <c:spPr>
            <a:noFill/>
            <a:ln>
              <a:noFill/>
            </a:ln>
          </c:spPr>
        </c:title>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48907235"/>
        <c:crosses val="autoZero"/>
        <c:crossBetween val="midCat"/>
        <c:dispUnits/>
      </c:valAx>
      <c:spPr>
        <a:noFill/>
        <a:ln w="12700">
          <a:solidFill>
            <a:srgbClr val="808080"/>
          </a:solidFill>
        </a:ln>
      </c:spPr>
    </c:plotArea>
    <c:legend>
      <c:legendPos val="r"/>
      <c:layout>
        <c:manualLayout>
          <c:xMode val="edge"/>
          <c:yMode val="edge"/>
          <c:x val="0.52125"/>
          <c:y val="0.1295"/>
          <c:w val="0.35675"/>
          <c:h val="0.19075"/>
        </c:manualLayout>
      </c:layout>
      <c:overlay val="0"/>
      <c:spPr>
        <a:solidFill>
          <a:srgbClr val="FFFFFF"/>
        </a:solidFill>
        <a:ln w="3175">
          <a:solidFill>
            <a:srgbClr val="C0C0C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
          <c:w val="0.94475"/>
          <c:h val="0.889"/>
        </c:manualLayout>
      </c:layout>
      <c:scatterChart>
        <c:scatterStyle val="lineMarker"/>
        <c:varyColors val="0"/>
        <c:ser>
          <c:idx val="0"/>
          <c:order val="0"/>
          <c:tx>
            <c:v>[3,5] SABR simple LPI</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yVal>
            <c:numRef>
              <c:f>fitLPISABR!$AH$16:$AH$65</c:f>
            </c:numRef>
          </c:yVal>
          <c:smooth val="0"/>
        </c:ser>
        <c:ser>
          <c:idx val="1"/>
          <c:order val="1"/>
          <c:tx>
            <c:v>[3,5] market</c:v>
          </c:tx>
          <c:spPr>
            <a:ln w="25400">
              <a:solidFill>
                <a:srgbClr val="C03A3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5A85B"/>
              </a:solidFill>
              <a:ln>
                <a:solidFill>
                  <a:srgbClr val="C03A3F"/>
                </a:solidFill>
              </a:ln>
            </c:spPr>
          </c:marker>
          <c:yVal>
            <c:numRef>
              <c:f>fitLPISABR!$AO$16:$AO$65</c:f>
            </c:numRef>
          </c:yVal>
          <c:smooth val="0"/>
        </c:ser>
        <c:axId val="2063069"/>
        <c:axId val="18567622"/>
      </c:scatterChart>
      <c:valAx>
        <c:axId val="2063069"/>
        <c:scaling>
          <c:orientation val="minMax"/>
        </c:scaling>
        <c:axPos val="b"/>
        <c:title>
          <c:tx>
            <c:rich>
              <a:bodyPr vert="horz" rot="0" anchor="ctr"/>
              <a:lstStyle/>
              <a:p>
                <a:pPr algn="ctr">
                  <a:defRPr/>
                </a:pPr>
                <a:r>
                  <a:rPr lang="en-US" cap="none" sz="1350" b="1" i="0" u="none" baseline="0">
                    <a:solidFill>
                      <a:srgbClr val="000000"/>
                    </a:solidFill>
                    <a:latin typeface="Arial"/>
                    <a:ea typeface="Arial"/>
                    <a:cs typeface="Arial"/>
                  </a:rPr>
                  <a:t>maturity</a:t>
                </a:r>
              </a:p>
            </c:rich>
          </c:tx>
          <c:layout>
            <c:manualLayout>
              <c:xMode val="factor"/>
              <c:yMode val="factor"/>
              <c:x val="0.0885"/>
              <c:y val="-0.03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350" b="1" i="0" u="none" baseline="0">
                <a:solidFill>
                  <a:srgbClr val="000000"/>
                </a:solidFill>
                <a:latin typeface="Arial"/>
                <a:ea typeface="Arial"/>
                <a:cs typeface="Arial"/>
              </a:defRPr>
            </a:pPr>
          </a:p>
        </c:txPr>
        <c:crossAx val="18567622"/>
        <c:crosses val="autoZero"/>
        <c:crossBetween val="midCat"/>
        <c:dispUnits/>
      </c:valAx>
      <c:valAx>
        <c:axId val="18567622"/>
        <c:scaling>
          <c:orientation val="minMax"/>
        </c:scaling>
        <c:axPos val="l"/>
        <c:title>
          <c:tx>
            <c:rich>
              <a:bodyPr vert="horz" rot="-5400000" anchor="ctr"/>
              <a:lstStyle/>
              <a:p>
                <a:pPr algn="ctr">
                  <a:defRPr/>
                </a:pPr>
                <a:r>
                  <a:rPr lang="en-US" cap="none" sz="1350" b="1" i="0" u="none" baseline="0">
                    <a:solidFill>
                      <a:srgbClr val="000000"/>
                    </a:solidFill>
                    <a:latin typeface="Arial"/>
                    <a:ea typeface="Arial"/>
                    <a:cs typeface="Arial"/>
                  </a:rPr>
                  <a:t>bp spread to RPI swap</a:t>
                </a:r>
              </a:p>
            </c:rich>
          </c:tx>
          <c:layout>
            <c:manualLayout>
              <c:xMode val="factor"/>
              <c:yMode val="factor"/>
              <c:x val="-0.0075"/>
              <c:y val="0.02775"/>
            </c:manualLayout>
          </c:layout>
          <c:overlay val="0"/>
          <c:spPr>
            <a:noFill/>
            <a:ln>
              <a:noFill/>
            </a:ln>
          </c:spPr>
        </c:title>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350" b="1" i="0" u="none" baseline="0">
                <a:solidFill>
                  <a:srgbClr val="000000"/>
                </a:solidFill>
                <a:latin typeface="Arial"/>
                <a:ea typeface="Arial"/>
                <a:cs typeface="Arial"/>
              </a:defRPr>
            </a:pPr>
          </a:p>
        </c:txPr>
        <c:crossAx val="2063069"/>
        <c:crosses val="autoZero"/>
        <c:crossBetween val="midCat"/>
        <c:dispUnits/>
      </c:valAx>
      <c:spPr>
        <a:noFill/>
        <a:ln w="12700">
          <a:solidFill>
            <a:srgbClr val="808080"/>
          </a:solidFill>
        </a:ln>
      </c:spPr>
    </c:plotArea>
    <c:legend>
      <c:legendPos val="r"/>
      <c:layout>
        <c:manualLayout>
          <c:xMode val="edge"/>
          <c:yMode val="edge"/>
          <c:x val="0.09675"/>
          <c:y val="0.63225"/>
          <c:w val="0.32975"/>
          <c:h val="0.19175"/>
        </c:manualLayout>
      </c:layout>
      <c:overlay val="0"/>
      <c:spPr>
        <a:solidFill>
          <a:srgbClr val="FFFFFF"/>
        </a:solidFill>
        <a:ln w="3175">
          <a:solidFill>
            <a:srgbClr val="C0C0C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00" b="1"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28575</xdr:colOff>
      <xdr:row>1</xdr:row>
      <xdr:rowOff>47625</xdr:rowOff>
    </xdr:from>
    <xdr:to>
      <xdr:col>54</xdr:col>
      <xdr:colOff>295275</xdr:colOff>
      <xdr:row>26</xdr:row>
      <xdr:rowOff>66675</xdr:rowOff>
    </xdr:to>
    <xdr:graphicFrame>
      <xdr:nvGraphicFramePr>
        <xdr:cNvPr id="1" name="Chart 3"/>
        <xdr:cNvGraphicFramePr/>
      </xdr:nvGraphicFramePr>
      <xdr:xfrm>
        <a:off x="12325350" y="209550"/>
        <a:ext cx="7239000" cy="4267200"/>
      </xdr:xfrm>
      <a:graphic>
        <a:graphicData uri="http://schemas.openxmlformats.org/drawingml/2006/chart">
          <c:chart xmlns:c="http://schemas.openxmlformats.org/drawingml/2006/chart" r:id="rId1"/>
        </a:graphicData>
      </a:graphic>
    </xdr:graphicFrame>
    <xdr:clientData/>
  </xdr:twoCellAnchor>
  <xdr:twoCellAnchor>
    <xdr:from>
      <xdr:col>49</xdr:col>
      <xdr:colOff>85725</xdr:colOff>
      <xdr:row>16</xdr:row>
      <xdr:rowOff>114300</xdr:rowOff>
    </xdr:from>
    <xdr:to>
      <xdr:col>60</xdr:col>
      <xdr:colOff>438150</xdr:colOff>
      <xdr:row>42</xdr:row>
      <xdr:rowOff>28575</xdr:rowOff>
    </xdr:to>
    <xdr:graphicFrame>
      <xdr:nvGraphicFramePr>
        <xdr:cNvPr id="2" name="Chart 10"/>
        <xdr:cNvGraphicFramePr/>
      </xdr:nvGraphicFramePr>
      <xdr:xfrm>
        <a:off x="16306800" y="2876550"/>
        <a:ext cx="7248525" cy="4238625"/>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68</xdr:row>
      <xdr:rowOff>0</xdr:rowOff>
    </xdr:from>
    <xdr:to>
      <xdr:col>44</xdr:col>
      <xdr:colOff>428625</xdr:colOff>
      <xdr:row>96</xdr:row>
      <xdr:rowOff>114300</xdr:rowOff>
    </xdr:to>
    <xdr:graphicFrame>
      <xdr:nvGraphicFramePr>
        <xdr:cNvPr id="3" name="Chart 1470"/>
        <xdr:cNvGraphicFramePr/>
      </xdr:nvGraphicFramePr>
      <xdr:xfrm>
        <a:off x="6105525" y="11315700"/>
        <a:ext cx="7305675" cy="4648200"/>
      </xdr:xfrm>
      <a:graphic>
        <a:graphicData uri="http://schemas.openxmlformats.org/drawingml/2006/chart">
          <c:chart xmlns:c="http://schemas.openxmlformats.org/drawingml/2006/chart" r:id="rId3"/>
        </a:graphicData>
      </a:graphic>
    </xdr:graphicFrame>
    <xdr:clientData/>
  </xdr:twoCellAnchor>
  <xdr:twoCellAnchor>
    <xdr:from>
      <xdr:col>43</xdr:col>
      <xdr:colOff>28575</xdr:colOff>
      <xdr:row>34</xdr:row>
      <xdr:rowOff>142875</xdr:rowOff>
    </xdr:from>
    <xdr:to>
      <xdr:col>54</xdr:col>
      <xdr:colOff>323850</xdr:colOff>
      <xdr:row>61</xdr:row>
      <xdr:rowOff>142875</xdr:rowOff>
    </xdr:to>
    <xdr:graphicFrame>
      <xdr:nvGraphicFramePr>
        <xdr:cNvPr id="4" name="Chart 8"/>
        <xdr:cNvGraphicFramePr/>
      </xdr:nvGraphicFramePr>
      <xdr:xfrm>
        <a:off x="12325350" y="5876925"/>
        <a:ext cx="7267575" cy="4429125"/>
      </xdr:xfrm>
      <a:graphic>
        <a:graphicData uri="http://schemas.openxmlformats.org/drawingml/2006/chart">
          <c:chart xmlns:c="http://schemas.openxmlformats.org/drawingml/2006/chart" r:id="rId4"/>
        </a:graphicData>
      </a:graphic>
    </xdr:graphicFrame>
    <xdr:clientData/>
  </xdr:twoCellAnchor>
  <xdr:twoCellAnchor>
    <xdr:from>
      <xdr:col>45</xdr:col>
      <xdr:colOff>552450</xdr:colOff>
      <xdr:row>71</xdr:row>
      <xdr:rowOff>57150</xdr:rowOff>
    </xdr:from>
    <xdr:to>
      <xdr:col>58</xdr:col>
      <xdr:colOff>295275</xdr:colOff>
      <xdr:row>98</xdr:row>
      <xdr:rowOff>95250</xdr:rowOff>
    </xdr:to>
    <xdr:graphicFrame>
      <xdr:nvGraphicFramePr>
        <xdr:cNvPr id="5" name="Chart 1475"/>
        <xdr:cNvGraphicFramePr/>
      </xdr:nvGraphicFramePr>
      <xdr:xfrm>
        <a:off x="14144625" y="11858625"/>
        <a:ext cx="7858125" cy="44100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4:C15"/>
  <sheetViews>
    <sheetView zoomScale="80" zoomScaleNormal="80" zoomScalePageLayoutView="0" workbookViewId="0" topLeftCell="A1">
      <selection activeCell="C9" sqref="C9"/>
    </sheetView>
  </sheetViews>
  <sheetFormatPr defaultColWidth="9.140625" defaultRowHeight="12.75"/>
  <sheetData>
    <row r="4" ht="12.75">
      <c r="C4" t="s">
        <v>33</v>
      </c>
    </row>
    <row r="6" spans="2:3" ht="12.75">
      <c r="B6">
        <v>1</v>
      </c>
      <c r="C6" t="s">
        <v>51</v>
      </c>
    </row>
    <row r="7" spans="2:3" ht="12.75">
      <c r="B7">
        <v>2</v>
      </c>
      <c r="C7" t="s">
        <v>52</v>
      </c>
    </row>
    <row r="8" spans="2:3" ht="12.75">
      <c r="B8">
        <v>3</v>
      </c>
      <c r="C8" t="s">
        <v>34</v>
      </c>
    </row>
    <row r="9" spans="2:3" ht="12.75">
      <c r="B9">
        <v>4</v>
      </c>
      <c r="C9" t="s">
        <v>36</v>
      </c>
    </row>
    <row r="10" ht="12.75">
      <c r="C10" t="s">
        <v>35</v>
      </c>
    </row>
    <row r="11" spans="2:3" ht="12.75">
      <c r="B11">
        <v>5</v>
      </c>
      <c r="C11" t="s">
        <v>37</v>
      </c>
    </row>
    <row r="12" ht="12.75">
      <c r="C12" t="s">
        <v>38</v>
      </c>
    </row>
    <row r="13" ht="12.75">
      <c r="C13" t="s">
        <v>39</v>
      </c>
    </row>
    <row r="15" ht="12.75">
      <c r="C15" s="1" t="s">
        <v>40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C1:BX89"/>
  <sheetViews>
    <sheetView tabSelected="1" zoomScale="65" zoomScaleNormal="65" zoomScalePageLayoutView="0" workbookViewId="0" topLeftCell="A1">
      <selection activeCell="Y4" sqref="Y4"/>
    </sheetView>
  </sheetViews>
  <sheetFormatPr defaultColWidth="9.140625" defaultRowHeight="12.75"/>
  <cols>
    <col min="1" max="1" width="4.00390625" style="0" customWidth="1"/>
    <col min="2" max="2" width="3.57421875" style="0" customWidth="1"/>
    <col min="3" max="3" width="9.00390625" style="120" customWidth="1"/>
    <col min="4" max="4" width="11.8515625" style="0" hidden="1" customWidth="1"/>
    <col min="5" max="5" width="13.00390625" style="0" customWidth="1"/>
    <col min="6" max="6" width="12.57421875" style="0" customWidth="1"/>
    <col min="7" max="7" width="9.8515625" style="0" hidden="1" customWidth="1"/>
    <col min="8" max="8" width="10.00390625" style="0" hidden="1" customWidth="1"/>
    <col min="9" max="9" width="11.00390625" style="0" bestFit="1" customWidth="1"/>
    <col min="10" max="10" width="11.00390625" style="0" hidden="1" customWidth="1"/>
    <col min="11" max="11" width="11.00390625" style="0" customWidth="1"/>
    <col min="12" max="12" width="12.28125" style="0" hidden="1" customWidth="1"/>
    <col min="16" max="16" width="9.8515625" style="0" hidden="1" customWidth="1"/>
    <col min="17" max="20" width="0" style="0" hidden="1" customWidth="1"/>
    <col min="21" max="21" width="9.57421875" style="0" hidden="1" customWidth="1"/>
    <col min="22" max="22" width="10.00390625" style="0" customWidth="1"/>
    <col min="23" max="23" width="10.00390625" style="0" hidden="1" customWidth="1"/>
    <col min="24" max="24" width="9.57421875" style="0" hidden="1" customWidth="1"/>
    <col min="25" max="25" width="10.00390625" style="0" customWidth="1"/>
    <col min="26" max="27" width="10.00390625" style="0" hidden="1" customWidth="1"/>
    <col min="28" max="28" width="10.00390625" style="0" customWidth="1"/>
    <col min="29" max="29" width="10.00390625" style="0" hidden="1" customWidth="1"/>
    <col min="30" max="30" width="9.57421875" style="0" hidden="1" customWidth="1"/>
    <col min="31" max="32" width="10.7109375" style="0" hidden="1" customWidth="1"/>
    <col min="33" max="33" width="9.57421875" style="0" hidden="1" customWidth="1"/>
    <col min="34" max="35" width="10.7109375" style="0" hidden="1" customWidth="1"/>
    <col min="36" max="36" width="11.8515625" style="8" customWidth="1"/>
    <col min="37" max="39" width="10.421875" style="0" customWidth="1"/>
    <col min="40" max="40" width="10.8515625" style="0" hidden="1" customWidth="1"/>
    <col min="41" max="41" width="0" style="0" hidden="1" customWidth="1"/>
    <col min="42" max="42" width="10.7109375" style="0" bestFit="1" customWidth="1"/>
    <col min="43" max="43" width="9.00390625" style="0" customWidth="1"/>
    <col min="44" max="44" width="10.28125" style="0" customWidth="1"/>
    <col min="49" max="49" width="12.00390625" style="0" customWidth="1"/>
    <col min="60" max="60" width="12.00390625" style="0" customWidth="1"/>
    <col min="66" max="66" width="10.00390625" style="0" customWidth="1"/>
    <col min="67" max="67" width="12.7109375" style="0" customWidth="1"/>
    <col min="68" max="68" width="12.7109375" style="0" hidden="1" customWidth="1"/>
    <col min="69" max="69" width="12.7109375" style="0" customWidth="1"/>
    <col min="70" max="71" width="12.7109375" style="0" hidden="1" customWidth="1"/>
    <col min="72" max="72" width="12.7109375" style="0" customWidth="1"/>
    <col min="73" max="74" width="12.7109375" style="0" hidden="1" customWidth="1"/>
    <col min="75" max="75" width="12.7109375" style="0" customWidth="1"/>
    <col min="76" max="76" width="12.7109375" style="0" hidden="1" customWidth="1"/>
  </cols>
  <sheetData>
    <row r="1" spans="44:55" ht="12.75">
      <c r="AR1" s="29"/>
      <c r="AS1" s="29"/>
      <c r="AT1" s="29"/>
      <c r="AU1" s="29"/>
      <c r="AV1" s="29"/>
      <c r="AW1" s="21"/>
      <c r="AX1" s="29"/>
      <c r="AY1" s="29"/>
      <c r="AZ1" s="20"/>
      <c r="BA1" s="20"/>
      <c r="BB1" s="20"/>
      <c r="BC1" s="20"/>
    </row>
    <row r="2" spans="44:55" ht="12.75">
      <c r="AR2" s="29"/>
      <c r="AS2" s="29"/>
      <c r="AT2" s="29"/>
      <c r="AU2" s="29"/>
      <c r="AV2" s="29"/>
      <c r="AW2" s="21"/>
      <c r="AX2" s="29"/>
      <c r="AY2" s="29"/>
      <c r="AZ2" s="20"/>
      <c r="BA2" s="20"/>
      <c r="BB2" s="20"/>
      <c r="BC2" s="20"/>
    </row>
    <row r="3" spans="17:55" ht="12.75">
      <c r="Q3" s="25"/>
      <c r="R3" s="25"/>
      <c r="S3" s="25"/>
      <c r="T3" s="25"/>
      <c r="AR3" s="29"/>
      <c r="AS3" s="29"/>
      <c r="AT3" s="29"/>
      <c r="AU3" s="29"/>
      <c r="AV3" s="29"/>
      <c r="AW3" s="21"/>
      <c r="AX3" s="29"/>
      <c r="AY3" s="29"/>
      <c r="AZ3" s="20"/>
      <c r="BA3" s="20"/>
      <c r="BB3" s="20"/>
      <c r="BC3" s="20"/>
    </row>
    <row r="4" spans="44:55" ht="12.75">
      <c r="AR4" s="29"/>
      <c r="AS4" s="29"/>
      <c r="AT4" s="29"/>
      <c r="AU4" s="29"/>
      <c r="AV4" s="29"/>
      <c r="AW4" s="21"/>
      <c r="AX4" s="29"/>
      <c r="AY4" s="29"/>
      <c r="AZ4" s="20"/>
      <c r="BA4" s="20"/>
      <c r="BB4" s="20"/>
      <c r="BC4" s="20"/>
    </row>
    <row r="5" spans="44:55" ht="12.75">
      <c r="AR5" s="29"/>
      <c r="AS5" s="29"/>
      <c r="AT5" s="29"/>
      <c r="AU5" s="29"/>
      <c r="AV5" s="29"/>
      <c r="AW5" s="21"/>
      <c r="AX5" s="29"/>
      <c r="AY5" s="29"/>
      <c r="AZ5" s="20"/>
      <c r="BA5" s="20"/>
      <c r="BB5" s="20"/>
      <c r="BC5" s="20"/>
    </row>
    <row r="6" spans="3:55" ht="13.5" thickBot="1">
      <c r="C6" s="144"/>
      <c r="AR6" s="29"/>
      <c r="AS6" s="29"/>
      <c r="AT6" s="29"/>
      <c r="AU6" s="29"/>
      <c r="AV6" s="29"/>
      <c r="AW6" s="21"/>
      <c r="AX6" s="29"/>
      <c r="AY6" s="29"/>
      <c r="AZ6" s="20"/>
      <c r="BA6" s="20"/>
      <c r="BB6" s="20"/>
      <c r="BC6" s="20"/>
    </row>
    <row r="7" spans="5:76" ht="21" thickTop="1">
      <c r="E7" s="108" t="s">
        <v>44</v>
      </c>
      <c r="AR7" s="29"/>
      <c r="AS7" s="29"/>
      <c r="AT7" s="29"/>
      <c r="AU7" s="29"/>
      <c r="AV7" s="29"/>
      <c r="AW7" s="21"/>
      <c r="AX7" s="29"/>
      <c r="AY7" s="29"/>
      <c r="AZ7" s="20"/>
      <c r="BA7" s="20"/>
      <c r="BB7" s="20"/>
      <c r="BC7" s="20"/>
      <c r="BO7" s="121" t="s">
        <v>50</v>
      </c>
      <c r="BP7" s="122"/>
      <c r="BQ7" s="123" t="s">
        <v>0</v>
      </c>
      <c r="BR7" s="124"/>
      <c r="BS7" s="125"/>
      <c r="BT7" s="126" t="s">
        <v>2</v>
      </c>
      <c r="BU7" s="127"/>
      <c r="BV7" s="128"/>
      <c r="BW7" s="129" t="s">
        <v>1</v>
      </c>
      <c r="BX7" s="130"/>
    </row>
    <row r="8" spans="44:76" ht="12.75">
      <c r="AR8" s="29"/>
      <c r="AS8" s="29"/>
      <c r="AT8" s="29"/>
      <c r="AU8" s="29"/>
      <c r="AV8" s="29"/>
      <c r="AW8" s="21"/>
      <c r="AX8" s="29"/>
      <c r="AY8" s="29"/>
      <c r="AZ8" s="20"/>
      <c r="BA8" s="20"/>
      <c r="BB8" s="20"/>
      <c r="BC8" s="20"/>
      <c r="BO8" s="131"/>
      <c r="BP8" s="132" t="s">
        <v>42</v>
      </c>
      <c r="BQ8" s="133" t="s">
        <v>43</v>
      </c>
      <c r="BR8" s="134"/>
      <c r="BS8" s="132"/>
      <c r="BT8" s="133" t="s">
        <v>43</v>
      </c>
      <c r="BU8" s="134"/>
      <c r="BV8" s="132"/>
      <c r="BW8" s="133" t="s">
        <v>43</v>
      </c>
      <c r="BX8" s="134"/>
    </row>
    <row r="9" spans="13:76" ht="12.75">
      <c r="M9" s="48"/>
      <c r="N9" s="49"/>
      <c r="O9" s="49"/>
      <c r="P9" s="49"/>
      <c r="Q9" s="49"/>
      <c r="R9" s="49"/>
      <c r="S9" s="49"/>
      <c r="T9" s="49"/>
      <c r="U9" s="49"/>
      <c r="V9" s="49"/>
      <c r="W9" s="49"/>
      <c r="X9" s="49"/>
      <c r="Y9" s="49"/>
      <c r="Z9" s="49"/>
      <c r="AA9" s="49"/>
      <c r="AB9" s="49"/>
      <c r="AC9" s="82"/>
      <c r="AD9" s="82"/>
      <c r="AE9" s="82"/>
      <c r="AF9" s="82"/>
      <c r="AG9" s="82"/>
      <c r="AH9" s="82"/>
      <c r="AI9" s="82"/>
      <c r="AJ9" s="146"/>
      <c r="AR9" s="29"/>
      <c r="AS9" s="29"/>
      <c r="AT9" s="29"/>
      <c r="AU9" s="29"/>
      <c r="AV9" s="29"/>
      <c r="AW9" s="21"/>
      <c r="AX9" s="29"/>
      <c r="AY9" s="29"/>
      <c r="AZ9" s="20"/>
      <c r="BA9" s="20"/>
      <c r="BB9" s="20"/>
      <c r="BC9" s="20"/>
      <c r="BO9" s="135">
        <v>5</v>
      </c>
      <c r="BP9" s="136"/>
      <c r="BQ9" s="137">
        <v>-0.00031398080035103246</v>
      </c>
      <c r="BR9" s="138"/>
      <c r="BS9" s="136"/>
      <c r="BT9" s="137">
        <v>0.002360438806551479</v>
      </c>
      <c r="BU9" s="138"/>
      <c r="BV9" s="136"/>
      <c r="BW9" s="137">
        <v>-0.007902314126768228</v>
      </c>
      <c r="BX9" s="138"/>
    </row>
    <row r="10" spans="5:76" ht="12.75">
      <c r="E10" s="30">
        <v>40333</v>
      </c>
      <c r="F10" t="s">
        <v>32</v>
      </c>
      <c r="M10" s="50"/>
      <c r="N10" s="51"/>
      <c r="O10" s="51"/>
      <c r="P10" s="51"/>
      <c r="Q10" s="51"/>
      <c r="R10" s="51"/>
      <c r="S10" s="51"/>
      <c r="T10" s="51"/>
      <c r="U10" s="51"/>
      <c r="V10" s="51"/>
      <c r="W10" s="51"/>
      <c r="X10" s="51"/>
      <c r="Y10" s="51"/>
      <c r="Z10" s="51"/>
      <c r="AA10" s="51"/>
      <c r="AB10" s="51"/>
      <c r="AC10" s="51"/>
      <c r="AD10" s="51"/>
      <c r="AE10" s="51"/>
      <c r="AF10" s="51"/>
      <c r="AG10" s="51"/>
      <c r="AH10" s="51"/>
      <c r="AI10" s="51"/>
      <c r="AJ10" s="147"/>
      <c r="AR10" s="29"/>
      <c r="AS10" s="29"/>
      <c r="AT10" s="29"/>
      <c r="AU10" s="29"/>
      <c r="AV10" s="29"/>
      <c r="AW10" s="21"/>
      <c r="AX10" s="29"/>
      <c r="AY10" s="29"/>
      <c r="AZ10" s="20"/>
      <c r="BA10" s="20"/>
      <c r="BB10" s="20"/>
      <c r="BC10" s="20"/>
      <c r="BO10" s="135">
        <v>10</v>
      </c>
      <c r="BP10" s="139"/>
      <c r="BQ10" s="137">
        <v>-0.0003673688974751843</v>
      </c>
      <c r="BR10" s="138"/>
      <c r="BS10" s="139"/>
      <c r="BT10" s="137">
        <v>0.002387727730748135</v>
      </c>
      <c r="BU10" s="138"/>
      <c r="BV10" s="139"/>
      <c r="BW10" s="137">
        <v>-0.008834732057348249</v>
      </c>
      <c r="BX10" s="138"/>
    </row>
    <row r="11" spans="5:76" ht="13.5" thickBot="1">
      <c r="E11" s="30">
        <f>DATE(YEAR(E10),MONTH(E10)-2,1)</f>
        <v>40269</v>
      </c>
      <c r="F11" t="s">
        <v>11</v>
      </c>
      <c r="G11" s="31"/>
      <c r="M11" s="50"/>
      <c r="N11" s="51"/>
      <c r="O11" s="51"/>
      <c r="P11" s="51"/>
      <c r="Q11" s="51"/>
      <c r="R11" s="51"/>
      <c r="S11" s="51"/>
      <c r="T11" s="51"/>
      <c r="U11" s="51"/>
      <c r="V11" s="51"/>
      <c r="W11" s="51"/>
      <c r="X11" s="51"/>
      <c r="Y11" s="51"/>
      <c r="Z11" s="51"/>
      <c r="AA11" s="51"/>
      <c r="AB11" s="51"/>
      <c r="AC11" s="79"/>
      <c r="AD11" s="79"/>
      <c r="AE11" s="79"/>
      <c r="AF11" s="79"/>
      <c r="AG11" s="79"/>
      <c r="AH11" s="79"/>
      <c r="AI11" s="79"/>
      <c r="AJ11" s="147"/>
      <c r="AP11" s="83" t="s">
        <v>30</v>
      </c>
      <c r="AR11" s="29"/>
      <c r="AS11" s="29"/>
      <c r="AT11" s="29"/>
      <c r="AU11" s="29"/>
      <c r="AV11" s="29"/>
      <c r="AW11" s="21"/>
      <c r="AX11" s="29"/>
      <c r="AY11" s="29"/>
      <c r="AZ11" s="20"/>
      <c r="BA11" s="20"/>
      <c r="BB11" s="20"/>
      <c r="BC11" s="20"/>
      <c r="BO11" s="135">
        <v>15</v>
      </c>
      <c r="BP11" s="139"/>
      <c r="BQ11" s="137">
        <v>-0.00027351532686925584</v>
      </c>
      <c r="BR11" s="138"/>
      <c r="BS11" s="139"/>
      <c r="BT11" s="137">
        <v>0.0025190863964704713</v>
      </c>
      <c r="BU11" s="138"/>
      <c r="BV11" s="139"/>
      <c r="BW11" s="137">
        <v>-0.00942342281498576</v>
      </c>
      <c r="BX11" s="138"/>
    </row>
    <row r="12" spans="5:76" ht="12.75">
      <c r="E12" s="7">
        <f>E11</f>
        <v>40269</v>
      </c>
      <c r="F12" t="s">
        <v>10</v>
      </c>
      <c r="G12" s="32"/>
      <c r="J12" s="28" t="s">
        <v>26</v>
      </c>
      <c r="M12" s="50"/>
      <c r="N12" s="51"/>
      <c r="O12" s="51"/>
      <c r="P12" s="51"/>
      <c r="Q12" s="51"/>
      <c r="R12" s="51"/>
      <c r="S12" s="51"/>
      <c r="T12" s="51"/>
      <c r="U12" s="53" t="s">
        <v>21</v>
      </c>
      <c r="V12" s="54">
        <v>0</v>
      </c>
      <c r="W12" s="55">
        <v>0.05</v>
      </c>
      <c r="X12" s="53" t="s">
        <v>21</v>
      </c>
      <c r="Y12" s="54">
        <v>0</v>
      </c>
      <c r="Z12" s="55">
        <v>0.03</v>
      </c>
      <c r="AA12" s="53" t="s">
        <v>21</v>
      </c>
      <c r="AB12" s="54">
        <v>0</v>
      </c>
      <c r="AC12" s="55">
        <v>0.99</v>
      </c>
      <c r="AD12" s="43" t="s">
        <v>21</v>
      </c>
      <c r="AE12" s="84">
        <v>0</v>
      </c>
      <c r="AF12" s="85">
        <v>0.025</v>
      </c>
      <c r="AG12" s="86" t="s">
        <v>21</v>
      </c>
      <c r="AH12" s="84">
        <v>0.03</v>
      </c>
      <c r="AI12" s="35">
        <v>0.05</v>
      </c>
      <c r="AJ12" s="151" t="s">
        <v>49</v>
      </c>
      <c r="AK12" s="22"/>
      <c r="AL12" s="23"/>
      <c r="AM12" s="23"/>
      <c r="AN12" s="23"/>
      <c r="AO12" s="23"/>
      <c r="AP12" s="109" t="s">
        <v>31</v>
      </c>
      <c r="AR12" s="29"/>
      <c r="AS12" s="29"/>
      <c r="AT12" s="29"/>
      <c r="AU12" s="29"/>
      <c r="AV12" s="29"/>
      <c r="AW12" s="21"/>
      <c r="AX12" s="29"/>
      <c r="AY12" s="29"/>
      <c r="AZ12" s="20"/>
      <c r="BA12" s="20"/>
      <c r="BB12" s="20"/>
      <c r="BC12" s="20"/>
      <c r="BO12" s="135">
        <v>20</v>
      </c>
      <c r="BP12" s="139"/>
      <c r="BQ12" s="137">
        <v>-8.185830511997505E-05</v>
      </c>
      <c r="BR12" s="138"/>
      <c r="BS12" s="139"/>
      <c r="BT12" s="137">
        <v>0.0028132599335235486</v>
      </c>
      <c r="BU12" s="138"/>
      <c r="BV12" s="139"/>
      <c r="BW12" s="137">
        <v>-0.00997539141280901</v>
      </c>
      <c r="BX12" s="138"/>
    </row>
    <row r="13" spans="7:76" ht="12.75">
      <c r="G13" s="104" t="s">
        <v>47</v>
      </c>
      <c r="H13" s="104" t="s">
        <v>14</v>
      </c>
      <c r="I13" s="2"/>
      <c r="J13" s="28" t="s">
        <v>24</v>
      </c>
      <c r="K13" s="2"/>
      <c r="L13" s="1" t="s">
        <v>41</v>
      </c>
      <c r="M13" s="56" t="s">
        <v>15</v>
      </c>
      <c r="N13" s="57" t="s">
        <v>15</v>
      </c>
      <c r="O13" s="57" t="s">
        <v>15</v>
      </c>
      <c r="P13" s="58">
        <v>0</v>
      </c>
      <c r="Q13" s="58">
        <v>0.03</v>
      </c>
      <c r="R13" s="58">
        <v>0.025</v>
      </c>
      <c r="S13" s="58">
        <v>0.03</v>
      </c>
      <c r="T13" s="59">
        <v>0.05</v>
      </c>
      <c r="U13" s="60" t="s">
        <v>0</v>
      </c>
      <c r="V13" s="61" t="s">
        <v>0</v>
      </c>
      <c r="W13" s="62" t="str">
        <f>V13</f>
        <v>LPI[0,5]</v>
      </c>
      <c r="X13" s="60" t="s">
        <v>1</v>
      </c>
      <c r="Y13" s="61" t="s">
        <v>1</v>
      </c>
      <c r="Z13" s="62" t="str">
        <f>Y13</f>
        <v>LPI[0,3]</v>
      </c>
      <c r="AA13" s="60" t="s">
        <v>2</v>
      </c>
      <c r="AB13" s="61" t="s">
        <v>2</v>
      </c>
      <c r="AC13" s="62" t="str">
        <f>AB13</f>
        <v>LPI[0,inf]</v>
      </c>
      <c r="AD13" s="44" t="s">
        <v>2</v>
      </c>
      <c r="AE13" s="87" t="s">
        <v>3</v>
      </c>
      <c r="AF13" s="88" t="str">
        <f>AE13</f>
        <v>LPI[0,2.5]</v>
      </c>
      <c r="AG13" s="89" t="s">
        <v>2</v>
      </c>
      <c r="AH13" s="87" t="s">
        <v>4</v>
      </c>
      <c r="AI13" s="34" t="str">
        <f>AH13</f>
        <v>LPI[3,5]</v>
      </c>
      <c r="AJ13" s="148" t="s">
        <v>29</v>
      </c>
      <c r="AK13" s="111" t="s">
        <v>0</v>
      </c>
      <c r="AL13" s="34" t="s">
        <v>1</v>
      </c>
      <c r="AM13" s="34" t="s">
        <v>2</v>
      </c>
      <c r="AN13" s="34" t="str">
        <f>BQ17</f>
        <v>LPI[0,2.5]</v>
      </c>
      <c r="AO13" s="34" t="str">
        <f>BT17</f>
        <v>LPI[3,5]</v>
      </c>
      <c r="AP13" s="110">
        <v>1</v>
      </c>
      <c r="AR13" s="29"/>
      <c r="AS13" s="29"/>
      <c r="AT13" s="29"/>
      <c r="AU13" s="29"/>
      <c r="AV13" s="29"/>
      <c r="AW13" s="21"/>
      <c r="AX13" s="29"/>
      <c r="AY13" s="29"/>
      <c r="AZ13" s="20"/>
      <c r="BA13" s="20"/>
      <c r="BB13" s="20"/>
      <c r="BC13" s="20"/>
      <c r="BO13" s="135">
        <v>25</v>
      </c>
      <c r="BP13" s="139"/>
      <c r="BQ13" s="137">
        <v>0.00023182320043675374</v>
      </c>
      <c r="BR13" s="138"/>
      <c r="BS13" s="139"/>
      <c r="BT13" s="137">
        <v>0.0031733271817554255</v>
      </c>
      <c r="BU13" s="138"/>
      <c r="BV13" s="139"/>
      <c r="BW13" s="137">
        <v>-0.010069829322111222</v>
      </c>
      <c r="BX13" s="138"/>
    </row>
    <row r="14" spans="3:76" ht="13.5" thickBot="1">
      <c r="C14" s="133" t="s">
        <v>46</v>
      </c>
      <c r="D14" s="9" t="s">
        <v>7</v>
      </c>
      <c r="E14" s="10" t="s">
        <v>8</v>
      </c>
      <c r="F14" s="11" t="s">
        <v>9</v>
      </c>
      <c r="G14" s="102" t="s">
        <v>48</v>
      </c>
      <c r="H14" s="102" t="s">
        <v>5</v>
      </c>
      <c r="I14" s="12" t="s">
        <v>23</v>
      </c>
      <c r="J14" s="12" t="s">
        <v>25</v>
      </c>
      <c r="K14" s="12" t="s">
        <v>13</v>
      </c>
      <c r="L14" s="12" t="s">
        <v>13</v>
      </c>
      <c r="M14" s="63" t="s">
        <v>16</v>
      </c>
      <c r="N14" s="64" t="s">
        <v>17</v>
      </c>
      <c r="O14" s="64" t="s">
        <v>18</v>
      </c>
      <c r="P14" s="65" t="s">
        <v>19</v>
      </c>
      <c r="Q14" s="65" t="s">
        <v>19</v>
      </c>
      <c r="R14" s="65" t="s">
        <v>20</v>
      </c>
      <c r="S14" s="65" t="s">
        <v>20</v>
      </c>
      <c r="T14" s="63" t="s">
        <v>20</v>
      </c>
      <c r="U14" s="66" t="s">
        <v>12</v>
      </c>
      <c r="V14" s="64" t="s">
        <v>22</v>
      </c>
      <c r="W14" s="67" t="s">
        <v>27</v>
      </c>
      <c r="X14" s="66" t="s">
        <v>12</v>
      </c>
      <c r="Y14" s="64" t="s">
        <v>22</v>
      </c>
      <c r="Z14" s="67" t="s">
        <v>27</v>
      </c>
      <c r="AA14" s="66" t="s">
        <v>12</v>
      </c>
      <c r="AB14" s="64" t="s">
        <v>22</v>
      </c>
      <c r="AC14" s="67" t="s">
        <v>27</v>
      </c>
      <c r="AD14" s="45" t="s">
        <v>12</v>
      </c>
      <c r="AE14" s="90" t="s">
        <v>22</v>
      </c>
      <c r="AF14" s="91" t="s">
        <v>27</v>
      </c>
      <c r="AG14" s="92" t="s">
        <v>12</v>
      </c>
      <c r="AH14" s="90" t="s">
        <v>22</v>
      </c>
      <c r="AI14" s="12" t="s">
        <v>27</v>
      </c>
      <c r="AJ14" s="148" t="s">
        <v>28</v>
      </c>
      <c r="AK14" s="112" t="s">
        <v>45</v>
      </c>
      <c r="AL14" s="113" t="s">
        <v>45</v>
      </c>
      <c r="AM14" s="113" t="s">
        <v>45</v>
      </c>
      <c r="AN14" s="113" t="s">
        <v>45</v>
      </c>
      <c r="AO14" s="113" t="s">
        <v>45</v>
      </c>
      <c r="AP14" s="36" t="s">
        <v>6</v>
      </c>
      <c r="AQ14" s="36"/>
      <c r="AR14" s="29"/>
      <c r="AS14" s="29"/>
      <c r="AT14" s="29"/>
      <c r="AU14" s="29"/>
      <c r="AV14" s="29"/>
      <c r="AW14" s="21"/>
      <c r="AX14" s="29"/>
      <c r="AY14" s="29"/>
      <c r="AZ14" s="20"/>
      <c r="BA14" s="20"/>
      <c r="BB14" s="20"/>
      <c r="BC14" s="20"/>
      <c r="BO14" s="135">
        <v>30</v>
      </c>
      <c r="BP14" s="139"/>
      <c r="BQ14" s="137">
        <v>0.0005353843480249588</v>
      </c>
      <c r="BR14" s="138"/>
      <c r="BS14" s="139"/>
      <c r="BT14" s="137">
        <v>0.0034834417909793023</v>
      </c>
      <c r="BU14" s="138"/>
      <c r="BV14" s="139"/>
      <c r="BW14" s="137">
        <v>-0.00988919877636274</v>
      </c>
      <c r="BX14" s="138"/>
    </row>
    <row r="15" spans="3:76" ht="15" customHeight="1">
      <c r="C15" s="120">
        <v>0</v>
      </c>
      <c r="E15" s="33">
        <f>E10</f>
        <v>40333</v>
      </c>
      <c r="F15" s="33">
        <f>E11</f>
        <v>40269</v>
      </c>
      <c r="G15" s="103">
        <v>1</v>
      </c>
      <c r="H15" s="105">
        <v>222.8</v>
      </c>
      <c r="I15" s="13"/>
      <c r="J15" s="13"/>
      <c r="K15" s="13"/>
      <c r="L15" s="13"/>
      <c r="M15" s="68">
        <f>M16</f>
        <v>0.01976</v>
      </c>
      <c r="N15" s="81">
        <f>N16</f>
        <v>-0.26</v>
      </c>
      <c r="O15" s="81">
        <f>O16</f>
        <v>0.48409</v>
      </c>
      <c r="P15" s="69"/>
      <c r="Q15" s="51"/>
      <c r="R15" s="51"/>
      <c r="S15" s="51"/>
      <c r="T15" s="51"/>
      <c r="U15" s="60"/>
      <c r="V15" s="51"/>
      <c r="W15" s="52"/>
      <c r="X15" s="60"/>
      <c r="Y15" s="51"/>
      <c r="Z15" s="52"/>
      <c r="AA15" s="60"/>
      <c r="AB15" s="51"/>
      <c r="AC15" s="52"/>
      <c r="AD15" s="44"/>
      <c r="AE15" s="93"/>
      <c r="AF15" s="94"/>
      <c r="AG15" s="89"/>
      <c r="AH15" s="93"/>
      <c r="AI15" s="3"/>
      <c r="AJ15" s="149"/>
      <c r="AK15" s="24"/>
      <c r="AL15" s="3"/>
      <c r="AM15" s="3"/>
      <c r="AN15" s="3"/>
      <c r="AO15" s="3"/>
      <c r="AR15" s="29"/>
      <c r="AS15" s="29"/>
      <c r="AT15" s="29"/>
      <c r="AU15" s="29"/>
      <c r="AV15" s="29"/>
      <c r="AW15" s="21"/>
      <c r="AX15" s="29"/>
      <c r="AY15" s="29"/>
      <c r="AZ15" s="20"/>
      <c r="BA15" s="20"/>
      <c r="BB15" s="20"/>
      <c r="BC15" s="20"/>
      <c r="BO15" s="135">
        <v>40</v>
      </c>
      <c r="BP15" s="139"/>
      <c r="BQ15" s="137">
        <v>0.0010163092586171762</v>
      </c>
      <c r="BR15" s="138"/>
      <c r="BS15" s="139"/>
      <c r="BT15" s="137">
        <v>0.003990585886134679</v>
      </c>
      <c r="BU15" s="138"/>
      <c r="BV15" s="139"/>
      <c r="BW15" s="137">
        <v>-0.009249877647820138</v>
      </c>
      <c r="BX15" s="138"/>
    </row>
    <row r="16" spans="3:76" ht="13.5" thickBot="1">
      <c r="C16" s="120">
        <f aca="true" t="shared" si="0" ref="C16:C47">C15+1</f>
        <v>1</v>
      </c>
      <c r="D16" s="4">
        <f aca="true" t="shared" si="1" ref="D16:D47">(F16-$E$12)/365.25</f>
        <v>0.999315537303217</v>
      </c>
      <c r="E16" s="5">
        <f aca="true" t="shared" si="2" ref="E16:E47">DATE(YEAR($E$15)+C16,MONTH($E$15),DAY($E$15))</f>
        <v>40698</v>
      </c>
      <c r="F16" s="5">
        <f aca="true" t="shared" si="3" ref="F16:F47">DATE(YEAR($F$15)+C16,MONTH($F$15),1)</f>
        <v>40634</v>
      </c>
      <c r="G16" s="103">
        <v>0.9880715986505435</v>
      </c>
      <c r="H16" s="105">
        <v>229.46244795444</v>
      </c>
      <c r="I16" s="16">
        <f aca="true" t="shared" si="4" ref="I16:I47">((H16/$H$15)^(1/C16)-1)</f>
        <v>0.029903267299999925</v>
      </c>
      <c r="J16" s="27">
        <f aca="true" t="shared" si="5" ref="J16:J47">1000000*(((1+I16+0.01%)^C16-(1+I16)^C16))*G16</f>
        <v>98.80715986504347</v>
      </c>
      <c r="K16" s="16">
        <f aca="true" t="shared" si="6" ref="K16:K47">H16/H15-1</f>
        <v>0.029903267299999925</v>
      </c>
      <c r="L16" s="16">
        <f>K16</f>
        <v>0.029903267299999925</v>
      </c>
      <c r="M16" s="38">
        <v>0.01976</v>
      </c>
      <c r="N16" s="39">
        <v>-0.26</v>
      </c>
      <c r="O16" s="39">
        <v>0.48409</v>
      </c>
      <c r="P16" s="70">
        <f aca="true" t="shared" si="7" ref="P16:Q35">BlackNormalp($K16,P$13,SABRNormalvolHagan(P$13,$K16,$O16,SABRatmvol_to_alpha($D16,1+$L16,$M16,0.0000001,$N16,$O16),$N16,$D16),$D16)</f>
        <v>0.001121199911699844</v>
      </c>
      <c r="Q16" s="70">
        <f t="shared" si="7"/>
        <v>0.008161920105572332</v>
      </c>
      <c r="R16" s="70">
        <f aca="true" t="shared" si="8" ref="R16:T35">BlackNormalc($K16,R$13,SABRNormalvolHagan(R$13,$K16,$O16,SABRatmvol_to_alpha($D16,1+$L16,$M16,0.0000001,$N16,$O16),$N16,$D16),$D16)</f>
        <v>0.010939800178850663</v>
      </c>
      <c r="S16" s="70">
        <f t="shared" si="8"/>
        <v>0.008065187405572258</v>
      </c>
      <c r="T16" s="70">
        <f t="shared" si="8"/>
        <v>0.0016152325420286098</v>
      </c>
      <c r="U16" s="71">
        <f>(1+P16-T16+K16)</f>
        <v>1.029409234669671</v>
      </c>
      <c r="V16" s="72">
        <f aca="true" t="shared" si="9" ref="V16:V47">U16^(1/$C16)-1-$I16</f>
        <v>-0.0004940326303288778</v>
      </c>
      <c r="W16" s="73">
        <f>U16-1</f>
        <v>0.029409234669671047</v>
      </c>
      <c r="X16" s="71">
        <f>(1+P16-S16+K16)</f>
        <v>1.0229592798061273</v>
      </c>
      <c r="Y16" s="72">
        <f aca="true" t="shared" si="10" ref="Y16:Y47">X16^(1/$C16)-1-$I16</f>
        <v>-0.006943987493872594</v>
      </c>
      <c r="Z16" s="73">
        <f>X16-1</f>
        <v>0.02295927980612733</v>
      </c>
      <c r="AA16" s="71">
        <f>(1+P16-0+K16)</f>
        <v>1.0310244672116997</v>
      </c>
      <c r="AB16" s="72">
        <f aca="true" t="shared" si="11" ref="AB16:AB47">AA16^(1/$C16)-1-$I16</f>
        <v>0.0011211999116997884</v>
      </c>
      <c r="AC16" s="73">
        <f>AA16-1</f>
        <v>0.031024467211699713</v>
      </c>
      <c r="AD16" s="46">
        <f>(1+P16-R16+K16)</f>
        <v>1.0200846670328492</v>
      </c>
      <c r="AE16" s="95">
        <f aca="true" t="shared" si="12" ref="AE16:AE47">AD16^(1/$C16)-1-$I16</f>
        <v>-0.009818600267150757</v>
      </c>
      <c r="AF16" s="96">
        <f>AD16-1</f>
        <v>0.02008466703284917</v>
      </c>
      <c r="AG16" s="97">
        <f>(1+Q16-T16+K16)</f>
        <v>1.0364499548635435</v>
      </c>
      <c r="AH16" s="95">
        <f aca="true" t="shared" si="13" ref="AH16:AH47">AG16^(1/$C16)-1-$I16</f>
        <v>0.006546687563543596</v>
      </c>
      <c r="AI16" s="17">
        <f>AG16-1</f>
        <v>0.03644995486354352</v>
      </c>
      <c r="AJ16" s="148"/>
      <c r="AK16" s="114"/>
      <c r="AL16" s="26"/>
      <c r="AM16" s="26"/>
      <c r="AN16" s="26"/>
      <c r="AO16" s="26"/>
      <c r="AP16" s="2">
        <v>1</v>
      </c>
      <c r="AQ16" s="2"/>
      <c r="AR16" s="29"/>
      <c r="AS16" s="29"/>
      <c r="AT16" s="29"/>
      <c r="AU16" s="29"/>
      <c r="AV16" s="29"/>
      <c r="AW16" s="21"/>
      <c r="AX16" s="29"/>
      <c r="AY16" s="29"/>
      <c r="AZ16" s="20"/>
      <c r="BA16" s="20"/>
      <c r="BB16" s="20"/>
      <c r="BC16" s="20"/>
      <c r="BO16" s="140">
        <v>50</v>
      </c>
      <c r="BP16" s="141"/>
      <c r="BQ16" s="142">
        <v>0.0012888471277637814</v>
      </c>
      <c r="BR16" s="143"/>
      <c r="BS16" s="141"/>
      <c r="BT16" s="142">
        <v>0.004345166997380856</v>
      </c>
      <c r="BU16" s="143"/>
      <c r="BV16" s="141"/>
      <c r="BW16" s="142">
        <v>-0.009096460336045054</v>
      </c>
      <c r="BX16" s="143"/>
    </row>
    <row r="17" spans="3:73" ht="13.5" thickTop="1">
      <c r="C17" s="120">
        <f t="shared" si="0"/>
        <v>2</v>
      </c>
      <c r="D17" s="4">
        <f t="shared" si="1"/>
        <v>2.001368925393566</v>
      </c>
      <c r="E17" s="5">
        <f t="shared" si="2"/>
        <v>41064</v>
      </c>
      <c r="F17" s="5">
        <f t="shared" si="3"/>
        <v>41000</v>
      </c>
      <c r="G17" s="103">
        <v>0.9699712480593663</v>
      </c>
      <c r="H17" s="105">
        <v>236.64652686872768</v>
      </c>
      <c r="I17" s="17">
        <f t="shared" si="4"/>
        <v>0.030605543679999903</v>
      </c>
      <c r="J17" s="27">
        <f t="shared" si="5"/>
        <v>199.94124880453677</v>
      </c>
      <c r="K17" s="17">
        <f t="shared" si="6"/>
        <v>0.031308298932268386</v>
      </c>
      <c r="L17" s="16">
        <f aca="true" t="shared" si="14" ref="L17:L65">K17</f>
        <v>0.031308298932268386</v>
      </c>
      <c r="M17" s="40">
        <f>(M16*3+M20*1)/4</f>
        <v>0.017172687845549463</v>
      </c>
      <c r="N17" s="41">
        <f>(N16*3+N20*1)/4</f>
        <v>-0.29023138572204665</v>
      </c>
      <c r="O17" s="41">
        <f>(O16*3+O20*1)/4</f>
        <v>0.4765675</v>
      </c>
      <c r="P17" s="70">
        <f t="shared" si="7"/>
        <v>0.0023136075466771897</v>
      </c>
      <c r="Q17" s="70">
        <f t="shared" si="7"/>
        <v>0.009409236866521575</v>
      </c>
      <c r="R17" s="70">
        <f t="shared" si="8"/>
        <v>0.013751569737562402</v>
      </c>
      <c r="S17" s="70">
        <f t="shared" si="8"/>
        <v>0.010717535798789962</v>
      </c>
      <c r="T17" s="70">
        <f t="shared" si="8"/>
        <v>0.003075682449008692</v>
      </c>
      <c r="U17" s="71">
        <f aca="true" t="shared" si="15" ref="U17:U48">U16*(1+P17-T17+K17)</f>
        <v>1.0608537997703769</v>
      </c>
      <c r="V17" s="72">
        <f t="shared" si="9"/>
        <v>-0.0006279712201056054</v>
      </c>
      <c r="W17" s="73">
        <f aca="true" t="shared" si="16" ref="W17:W48">U17/U16-1</f>
        <v>0.030546224029937008</v>
      </c>
      <c r="X17" s="71">
        <f aca="true" t="shared" si="17" ref="X17:X48">X16*(1+P17-S17+K17)</f>
        <v>1.0463895183415117</v>
      </c>
      <c r="Y17" s="72">
        <f t="shared" si="10"/>
        <v>-0.007673718805286223</v>
      </c>
      <c r="Z17" s="73">
        <f aca="true" t="shared" si="18" ref="Z17:Z48">X17/X16-1</f>
        <v>0.022904370680155495</v>
      </c>
      <c r="AA17" s="71">
        <f aca="true" t="shared" si="19" ref="AA17:AA48">AA16*(1+P17-0+K17)</f>
        <v>1.0656894754257962</v>
      </c>
      <c r="AB17" s="72">
        <f t="shared" si="11"/>
        <v>0.0017168262344546825</v>
      </c>
      <c r="AC17" s="73">
        <f aca="true" t="shared" si="20" ref="AC17:AC48">AA17/AA16-1</f>
        <v>0.033621906478945585</v>
      </c>
      <c r="AD17" s="46">
        <f aca="true" t="shared" si="21" ref="AD17:AD48">AD16*(1+P17-R17+K17)</f>
        <v>1.0403540928715138</v>
      </c>
      <c r="AE17" s="95">
        <f t="shared" si="12"/>
        <v>-0.010628047422600151</v>
      </c>
      <c r="AF17" s="96">
        <f aca="true" t="shared" si="22" ref="AF17:AF48">AD17/AD16-1</f>
        <v>0.019870336741383277</v>
      </c>
      <c r="AG17" s="97">
        <f aca="true" t="shared" si="23" ref="AG17:AG48">AG16*(1+Q17-T17+K17)</f>
        <v>1.0754638520689042</v>
      </c>
      <c r="AH17" s="95">
        <f t="shared" si="13"/>
        <v>0.006440189192424617</v>
      </c>
      <c r="AI17" s="17">
        <f aca="true" t="shared" si="24" ref="AI17:AI48">AG17/AG16-1</f>
        <v>0.037641853349781096</v>
      </c>
      <c r="AJ17" s="148"/>
      <c r="AK17" s="114"/>
      <c r="AL17" s="26"/>
      <c r="AM17" s="26"/>
      <c r="AN17" s="26"/>
      <c r="AO17" s="26"/>
      <c r="AP17" s="2">
        <v>2</v>
      </c>
      <c r="AQ17" s="26"/>
      <c r="AR17" s="29"/>
      <c r="AS17" s="29"/>
      <c r="AT17" s="29"/>
      <c r="AU17" s="29"/>
      <c r="AV17" s="29"/>
      <c r="AW17" s="21"/>
      <c r="AX17" s="29"/>
      <c r="AY17" s="29"/>
      <c r="AZ17" s="20"/>
      <c r="BA17" s="20"/>
      <c r="BB17" s="20"/>
      <c r="BC17" s="20"/>
      <c r="BO17" s="121" t="s">
        <v>50</v>
      </c>
      <c r="BP17" s="152"/>
      <c r="BQ17" s="155" t="s">
        <v>3</v>
      </c>
      <c r="BR17" s="153"/>
      <c r="BS17" s="154"/>
      <c r="BT17" s="156" t="s">
        <v>4</v>
      </c>
      <c r="BU17" s="154"/>
    </row>
    <row r="18" spans="3:73" ht="12.75">
      <c r="C18" s="120">
        <f t="shared" si="0"/>
        <v>3</v>
      </c>
      <c r="D18" s="4">
        <f t="shared" si="1"/>
        <v>3.0006844626967832</v>
      </c>
      <c r="E18" s="5">
        <f t="shared" si="2"/>
        <v>41429</v>
      </c>
      <c r="F18" s="5">
        <f t="shared" si="3"/>
        <v>41365</v>
      </c>
      <c r="G18" s="103">
        <v>0.944492315028607</v>
      </c>
      <c r="H18" s="105">
        <v>243.8760116906919</v>
      </c>
      <c r="I18" s="17">
        <f t="shared" si="4"/>
        <v>0.030586935010001204</v>
      </c>
      <c r="J18" s="27">
        <f t="shared" si="5"/>
        <v>300.9754608678553</v>
      </c>
      <c r="K18" s="17">
        <f t="shared" si="6"/>
        <v>0.030549718677995052</v>
      </c>
      <c r="L18" s="16">
        <f t="shared" si="14"/>
        <v>0.030549718677995052</v>
      </c>
      <c r="M18" s="40">
        <f>(M16*2+M20*2)/4</f>
        <v>0.014585375691098926</v>
      </c>
      <c r="N18" s="41">
        <f>(N16*2+N20*2)/4</f>
        <v>-0.3204627714440933</v>
      </c>
      <c r="O18" s="41">
        <f>(O16*2+O20*2)/4</f>
        <v>0.469045</v>
      </c>
      <c r="P18" s="70">
        <f t="shared" si="7"/>
        <v>0.0030148692428788714</v>
      </c>
      <c r="Q18" s="70">
        <f t="shared" si="7"/>
        <v>0.01014495490826911</v>
      </c>
      <c r="R18" s="70">
        <f t="shared" si="8"/>
        <v>0.01373558317979077</v>
      </c>
      <c r="S18" s="70">
        <f t="shared" si="8"/>
        <v>0.010694673586264164</v>
      </c>
      <c r="T18" s="70">
        <f t="shared" si="8"/>
        <v>0.0031564257532083104</v>
      </c>
      <c r="U18" s="71">
        <f t="shared" si="15"/>
        <v>1.0931124141499786</v>
      </c>
      <c r="V18" s="72">
        <f t="shared" si="9"/>
        <v>-0.0004658526441165822</v>
      </c>
      <c r="W18" s="73">
        <f t="shared" si="16"/>
        <v>0.03040816216766551</v>
      </c>
      <c r="X18" s="71">
        <f t="shared" si="17"/>
        <v>1.0703203569866158</v>
      </c>
      <c r="Y18" s="72">
        <f t="shared" si="10"/>
        <v>-0.007675747398335098</v>
      </c>
      <c r="Z18" s="73">
        <f t="shared" si="18"/>
        <v>0.02286991433460983</v>
      </c>
      <c r="AA18" s="71">
        <f t="shared" si="19"/>
        <v>1.1014589035200752</v>
      </c>
      <c r="AB18" s="72">
        <f t="shared" si="11"/>
        <v>0.0021493415963798057</v>
      </c>
      <c r="AC18" s="73">
        <f t="shared" si="20"/>
        <v>0.03356458792087391</v>
      </c>
      <c r="AD18" s="46">
        <f t="shared" si="21"/>
        <v>1.0609832791114684</v>
      </c>
      <c r="AE18" s="95">
        <f t="shared" si="12"/>
        <v>-0.010658938326885803</v>
      </c>
      <c r="AF18" s="96">
        <f t="shared" si="22"/>
        <v>0.019829004741083178</v>
      </c>
      <c r="AG18" s="97">
        <f t="shared" si="23"/>
        <v>1.1158348806833593</v>
      </c>
      <c r="AH18" s="95">
        <f t="shared" si="13"/>
        <v>0.006622943533291403</v>
      </c>
      <c r="AI18" s="17">
        <f t="shared" si="24"/>
        <v>0.037538247833055705</v>
      </c>
      <c r="AJ18" s="148"/>
      <c r="AK18" s="114"/>
      <c r="AL18" s="26"/>
      <c r="AM18" s="26"/>
      <c r="AN18" s="26"/>
      <c r="AO18" s="26"/>
      <c r="AP18" s="2">
        <v>3</v>
      </c>
      <c r="AQ18" s="26"/>
      <c r="AR18" s="29"/>
      <c r="AS18" s="29"/>
      <c r="AT18" s="29"/>
      <c r="AU18" s="29"/>
      <c r="AV18" s="29"/>
      <c r="AW18" s="21"/>
      <c r="AX18" s="29"/>
      <c r="AY18" s="29"/>
      <c r="AZ18" s="20"/>
      <c r="BA18" s="20"/>
      <c r="BB18" s="20"/>
      <c r="BC18" s="20"/>
      <c r="BO18" s="135">
        <v>5</v>
      </c>
      <c r="BP18" s="136"/>
      <c r="BQ18" s="137">
        <v>-0.011044121406622143</v>
      </c>
      <c r="BR18" s="138"/>
      <c r="BS18" s="136"/>
      <c r="BT18" s="137">
        <v>0.006174085039842514</v>
      </c>
      <c r="BU18" s="138"/>
    </row>
    <row r="19" spans="3:73" ht="12.75">
      <c r="C19" s="120">
        <f t="shared" si="0"/>
        <v>4</v>
      </c>
      <c r="D19" s="4">
        <f t="shared" si="1"/>
        <v>4</v>
      </c>
      <c r="E19" s="5">
        <f t="shared" si="2"/>
        <v>41794</v>
      </c>
      <c r="F19" s="5">
        <f t="shared" si="3"/>
        <v>41730</v>
      </c>
      <c r="G19" s="103">
        <v>0.9136158368627573</v>
      </c>
      <c r="H19" s="105">
        <v>251.70991263985255</v>
      </c>
      <c r="I19" s="17">
        <f t="shared" si="4"/>
        <v>0.030970605560000974</v>
      </c>
      <c r="J19" s="27">
        <f t="shared" si="5"/>
        <v>400.5213271039754</v>
      </c>
      <c r="K19" s="17">
        <f t="shared" si="6"/>
        <v>0.03212247442809746</v>
      </c>
      <c r="L19" s="16">
        <f t="shared" si="14"/>
        <v>0.03212247442809746</v>
      </c>
      <c r="M19" s="40">
        <f>(M16*1+M20*3)/4</f>
        <v>0.011998063536648387</v>
      </c>
      <c r="N19" s="41">
        <f>(N16*1+N20*3)/4</f>
        <v>-0.3506941571661399</v>
      </c>
      <c r="O19" s="41">
        <f>(O16*1+O20*3)/4</f>
        <v>0.46152249999999995</v>
      </c>
      <c r="P19" s="70">
        <f t="shared" si="7"/>
        <v>0.002912112199905741</v>
      </c>
      <c r="Q19" s="70">
        <f t="shared" si="7"/>
        <v>0.009008871808091625</v>
      </c>
      <c r="R19" s="70">
        <f t="shared" si="8"/>
        <v>0.014403854652212292</v>
      </c>
      <c r="S19" s="70">
        <f t="shared" si="8"/>
        <v>0.011131346236189084</v>
      </c>
      <c r="T19" s="70">
        <f t="shared" si="8"/>
        <v>0.0030916572953897615</v>
      </c>
      <c r="U19" s="71">
        <f t="shared" si="15"/>
        <v>1.1280296267477739</v>
      </c>
      <c r="V19" s="72">
        <f t="shared" si="9"/>
        <v>-0.0003943632106155892</v>
      </c>
      <c r="W19" s="73">
        <f t="shared" si="16"/>
        <v>0.031942929332613446</v>
      </c>
      <c r="X19" s="71">
        <f t="shared" si="17"/>
        <v>1.0959044817759194</v>
      </c>
      <c r="Y19" s="72">
        <f t="shared" si="10"/>
        <v>-0.007811494901548421</v>
      </c>
      <c r="Z19" s="73">
        <f t="shared" si="18"/>
        <v>0.02390324039181424</v>
      </c>
      <c r="AA19" s="71">
        <f t="shared" si="19"/>
        <v>1.1400480608926349</v>
      </c>
      <c r="AB19" s="72">
        <f t="shared" si="11"/>
        <v>0.002339769661786395</v>
      </c>
      <c r="AC19" s="73">
        <f t="shared" si="20"/>
        <v>0.035034586628003295</v>
      </c>
      <c r="AD19" s="46">
        <f t="shared" si="21"/>
        <v>1.082872140773613</v>
      </c>
      <c r="AE19" s="95">
        <f t="shared" si="12"/>
        <v>-0.010866970428105471</v>
      </c>
      <c r="AF19" s="96">
        <f t="shared" si="22"/>
        <v>0.020630731975791017</v>
      </c>
      <c r="AG19" s="97">
        <f t="shared" si="23"/>
        <v>1.1582808924538481</v>
      </c>
      <c r="AH19" s="95">
        <f t="shared" si="13"/>
        <v>0.006446663372731587</v>
      </c>
      <c r="AI19" s="17">
        <f t="shared" si="24"/>
        <v>0.03803968894079923</v>
      </c>
      <c r="AJ19" s="148"/>
      <c r="AK19" s="115"/>
      <c r="AL19" s="16"/>
      <c r="AM19" s="16"/>
      <c r="AN19" s="16"/>
      <c r="AO19" s="16"/>
      <c r="AP19" s="2">
        <v>4</v>
      </c>
      <c r="AQ19" s="26"/>
      <c r="AR19" s="29"/>
      <c r="AS19" s="29"/>
      <c r="AT19" s="29"/>
      <c r="AU19" s="29"/>
      <c r="AV19" s="29"/>
      <c r="AW19" s="21"/>
      <c r="AX19" s="29"/>
      <c r="AY19" s="29"/>
      <c r="AZ19" s="20"/>
      <c r="BA19" s="20"/>
      <c r="BB19" s="20"/>
      <c r="BC19" s="20"/>
      <c r="BO19" s="135">
        <v>10</v>
      </c>
      <c r="BP19" s="139"/>
      <c r="BQ19" s="137">
        <v>-0.012338712883197323</v>
      </c>
      <c r="BR19" s="138"/>
      <c r="BS19" s="139"/>
      <c r="BT19" s="137">
        <v>0.004729361574469626</v>
      </c>
      <c r="BU19" s="138"/>
    </row>
    <row r="20" spans="3:73" ht="12.75">
      <c r="C20" s="2">
        <f t="shared" si="0"/>
        <v>5</v>
      </c>
      <c r="D20" s="8">
        <f t="shared" si="1"/>
        <v>4.999315537303217</v>
      </c>
      <c r="E20" s="6">
        <f t="shared" si="2"/>
        <v>42159</v>
      </c>
      <c r="F20" s="6">
        <f t="shared" si="3"/>
        <v>42095</v>
      </c>
      <c r="G20" s="103">
        <v>0.8791763974981441</v>
      </c>
      <c r="H20" s="105">
        <v>260.0884421421844</v>
      </c>
      <c r="I20" s="16">
        <f t="shared" si="4"/>
        <v>0.03143335891000132</v>
      </c>
      <c r="J20" s="27">
        <f t="shared" si="5"/>
        <v>497.61668082454327</v>
      </c>
      <c r="K20" s="16">
        <f t="shared" si="6"/>
        <v>0.033286450320770156</v>
      </c>
      <c r="L20" s="16">
        <f t="shared" si="14"/>
        <v>0.033286450320770156</v>
      </c>
      <c r="M20" s="38">
        <v>0.00941075138219785</v>
      </c>
      <c r="N20" s="39">
        <v>-0.38092554288818653</v>
      </c>
      <c r="O20" s="39">
        <v>0.45399999999999996</v>
      </c>
      <c r="P20" s="70">
        <f t="shared" si="7"/>
        <v>0.002441623822581359</v>
      </c>
      <c r="Q20" s="70">
        <f t="shared" si="7"/>
        <v>0.007424432248665331</v>
      </c>
      <c r="R20" s="70">
        <f t="shared" si="8"/>
        <v>0.014221769115602098</v>
      </c>
      <c r="S20" s="70">
        <f t="shared" si="8"/>
        <v>0.010710882569435488</v>
      </c>
      <c r="T20" s="70">
        <f t="shared" si="8"/>
        <v>0.0024727835711411753</v>
      </c>
      <c r="U20" s="71">
        <f t="shared" si="15"/>
        <v>1.165542579759333</v>
      </c>
      <c r="V20" s="74">
        <f t="shared" si="9"/>
        <v>-0.0003218631970680619</v>
      </c>
      <c r="W20" s="73">
        <f t="shared" si="16"/>
        <v>0.03325529057221033</v>
      </c>
      <c r="X20" s="71">
        <f t="shared" si="17"/>
        <v>1.1233209341432207</v>
      </c>
      <c r="Y20" s="74">
        <f t="shared" si="10"/>
        <v>-0.00790290172017083</v>
      </c>
      <c r="Z20" s="73">
        <f t="shared" si="18"/>
        <v>0.02501719157391591</v>
      </c>
      <c r="AA20" s="71">
        <f t="shared" si="19"/>
        <v>1.180779782539191</v>
      </c>
      <c r="AB20" s="74">
        <f t="shared" si="11"/>
        <v>0.0023601041834333536</v>
      </c>
      <c r="AC20" s="73">
        <f t="shared" si="20"/>
        <v>0.03572807414335144</v>
      </c>
      <c r="AD20" s="46">
        <f t="shared" si="21"/>
        <v>1.1061607193391423</v>
      </c>
      <c r="AE20" s="98">
        <f t="shared" si="12"/>
        <v>-0.011049343968462466</v>
      </c>
      <c r="AF20" s="96">
        <f t="shared" si="22"/>
        <v>0.021506305027749306</v>
      </c>
      <c r="AG20" s="97">
        <f t="shared" si="23"/>
        <v>1.202571351887331</v>
      </c>
      <c r="AH20" s="98">
        <f t="shared" si="13"/>
        <v>0.006148024103620475</v>
      </c>
      <c r="AI20" s="17">
        <f t="shared" si="24"/>
        <v>0.038238098998294445</v>
      </c>
      <c r="AJ20" s="148">
        <f>10000*ABS(AK20-V20)+10000*ABS(AM20-AB20)+10000*ABS(AL20-Y20)</f>
        <v>0.08804613237756101</v>
      </c>
      <c r="AK20" s="161">
        <f>VLOOKUP($AP20,$BO$9:$BW$16,3)</f>
        <v>-0.00031398080035103246</v>
      </c>
      <c r="AL20" s="162">
        <f>VLOOKUP($AP20,$BO$9:$BW$16,9)</f>
        <v>-0.007902314126768228</v>
      </c>
      <c r="AM20" s="162">
        <f>VLOOKUP($AP20,$BO$9:$BW$16,6)</f>
        <v>0.002360438806551479</v>
      </c>
      <c r="AN20" s="157">
        <f>VLOOKUP($AP20,$BO$18:$BT$25,3)</f>
        <v>-0.011044121406622143</v>
      </c>
      <c r="AO20" s="157">
        <f>VLOOKUP($AP20,$BO$18:$BT$25,6)</f>
        <v>0.006174085039842514</v>
      </c>
      <c r="AP20" s="2">
        <v>5</v>
      </c>
      <c r="AQ20" s="26"/>
      <c r="AR20" s="29"/>
      <c r="AS20" s="29"/>
      <c r="AT20" s="29"/>
      <c r="AU20" s="29"/>
      <c r="AV20" s="29"/>
      <c r="AW20" s="21"/>
      <c r="AX20" s="29"/>
      <c r="AY20" s="29"/>
      <c r="AZ20" s="20"/>
      <c r="BA20" s="20"/>
      <c r="BB20" s="20"/>
      <c r="BC20" s="20"/>
      <c r="BO20" s="135">
        <v>15</v>
      </c>
      <c r="BP20" s="139"/>
      <c r="BQ20" s="137">
        <v>-0.013151261112341439</v>
      </c>
      <c r="BR20" s="138"/>
      <c r="BS20" s="139"/>
      <c r="BT20" s="137">
        <v>0.003995520397239161</v>
      </c>
      <c r="BU20" s="138"/>
    </row>
    <row r="21" spans="3:73" ht="12.75">
      <c r="C21" s="120">
        <f t="shared" si="0"/>
        <v>6</v>
      </c>
      <c r="D21" s="4">
        <f t="shared" si="1"/>
        <v>6.0013689253935665</v>
      </c>
      <c r="E21" s="5">
        <f t="shared" si="2"/>
        <v>42525</v>
      </c>
      <c r="F21" s="5">
        <f t="shared" si="3"/>
        <v>42461</v>
      </c>
      <c r="G21" s="103">
        <v>0.8429619751273806</v>
      </c>
      <c r="H21" s="105">
        <v>268.96772261857404</v>
      </c>
      <c r="I21" s="17">
        <f t="shared" si="4"/>
        <v>0.031883884470001345</v>
      </c>
      <c r="J21" s="27">
        <f t="shared" si="5"/>
        <v>591.859474344957</v>
      </c>
      <c r="K21" s="17">
        <f t="shared" si="6"/>
        <v>0.03413946580346505</v>
      </c>
      <c r="L21" s="16">
        <f t="shared" si="14"/>
        <v>0.03413946580346505</v>
      </c>
      <c r="M21" s="40">
        <f>(M20*4+M25*1)/5</f>
        <v>0.0086519700766374</v>
      </c>
      <c r="N21" s="41">
        <f>(N20*4+N25*1)/5</f>
        <v>-0.37091911068959693</v>
      </c>
      <c r="O21" s="41">
        <f>(O20*4+O25*1)/5</f>
        <v>0.44159999999999994</v>
      </c>
      <c r="P21" s="70">
        <f t="shared" si="7"/>
        <v>0.002596319588281686</v>
      </c>
      <c r="Q21" s="70">
        <f t="shared" si="7"/>
        <v>0.007230097702945831</v>
      </c>
      <c r="R21" s="70">
        <f t="shared" si="8"/>
        <v>0.014986982470080647</v>
      </c>
      <c r="S21" s="70">
        <f t="shared" si="8"/>
        <v>0.011369563506410885</v>
      </c>
      <c r="T21" s="70">
        <f t="shared" si="8"/>
        <v>0.0027421612181342393</v>
      </c>
      <c r="U21" s="71">
        <f t="shared" si="15"/>
        <v>1.2051635961740146</v>
      </c>
      <c r="V21" s="72">
        <f t="shared" si="9"/>
        <v>-0.0002925925063690382</v>
      </c>
      <c r="W21" s="73">
        <f t="shared" si="16"/>
        <v>0.03399362417361251</v>
      </c>
      <c r="X21" s="71">
        <f t="shared" si="17"/>
        <v>1.1518153422071404</v>
      </c>
      <c r="Y21" s="72">
        <f t="shared" si="10"/>
        <v>-0.008047694897057145</v>
      </c>
      <c r="Z21" s="73">
        <f t="shared" si="18"/>
        <v>0.025366221885335882</v>
      </c>
      <c r="AA21" s="71">
        <f t="shared" si="19"/>
        <v>1.2241566552254641</v>
      </c>
      <c r="AB21" s="72">
        <f t="shared" si="11"/>
        <v>0.002399385136418797</v>
      </c>
      <c r="AC21" s="73">
        <f t="shared" si="20"/>
        <v>0.03673578539174671</v>
      </c>
      <c r="AD21" s="46">
        <f t="shared" si="21"/>
        <v>1.1302183908237378</v>
      </c>
      <c r="AE21" s="95">
        <f t="shared" si="12"/>
        <v>-0.011272531528014218</v>
      </c>
      <c r="AF21" s="96">
        <f t="shared" si="22"/>
        <v>0.021748802921666144</v>
      </c>
      <c r="AG21" s="97">
        <f t="shared" si="23"/>
        <v>1.2490235592770398</v>
      </c>
      <c r="AH21" s="95">
        <f t="shared" si="13"/>
        <v>0.0058717619035228985</v>
      </c>
      <c r="AI21" s="17">
        <f t="shared" si="24"/>
        <v>0.03862740228827666</v>
      </c>
      <c r="AJ21" s="148"/>
      <c r="AK21" s="114"/>
      <c r="AL21" s="26"/>
      <c r="AM21" s="26"/>
      <c r="AN21" s="158"/>
      <c r="AO21" s="158"/>
      <c r="AP21" s="2">
        <v>6</v>
      </c>
      <c r="AQ21" s="26"/>
      <c r="AR21" s="29"/>
      <c r="AS21" s="29"/>
      <c r="AT21" s="29"/>
      <c r="AU21" s="29"/>
      <c r="AV21" s="29"/>
      <c r="AW21" s="21"/>
      <c r="AX21" s="29"/>
      <c r="AY21" s="29"/>
      <c r="AZ21" s="20"/>
      <c r="BA21" s="20"/>
      <c r="BB21" s="20"/>
      <c r="BC21" s="20"/>
      <c r="BO21" s="135">
        <v>20</v>
      </c>
      <c r="BP21" s="139"/>
      <c r="BQ21" s="137">
        <v>-0.013856356756096089</v>
      </c>
      <c r="BR21" s="138"/>
      <c r="BS21" s="139"/>
      <c r="BT21" s="137">
        <v>0.0036721620695017165</v>
      </c>
      <c r="BU21" s="138"/>
    </row>
    <row r="22" spans="3:73" ht="12.75">
      <c r="C22" s="120">
        <f t="shared" si="0"/>
        <v>7</v>
      </c>
      <c r="D22" s="4">
        <f t="shared" si="1"/>
        <v>7.000684462696783</v>
      </c>
      <c r="E22" s="5">
        <f t="shared" si="2"/>
        <v>42890</v>
      </c>
      <c r="F22" s="5">
        <f t="shared" si="3"/>
        <v>42826</v>
      </c>
      <c r="G22" s="103">
        <v>0.8061541495156042</v>
      </c>
      <c r="H22" s="105">
        <v>278.5385449893137</v>
      </c>
      <c r="I22" s="17">
        <f t="shared" si="4"/>
        <v>0.032411595660001735</v>
      </c>
      <c r="J22" s="27">
        <f t="shared" si="5"/>
        <v>683.5331412520945</v>
      </c>
      <c r="K22" s="17">
        <f t="shared" si="6"/>
        <v>0.03558353499654743</v>
      </c>
      <c r="L22" s="16">
        <f t="shared" si="14"/>
        <v>0.03558353499654743</v>
      </c>
      <c r="M22" s="40">
        <f>(M20*3+M25*2)/5</f>
        <v>0.007893188771076951</v>
      </c>
      <c r="N22" s="41">
        <f>(N20*3+N25*2)/5</f>
        <v>-0.3609126784910074</v>
      </c>
      <c r="O22" s="41">
        <f>(O20*3+O25*2)/5</f>
        <v>0.42919999999999997</v>
      </c>
      <c r="P22" s="70">
        <f t="shared" si="7"/>
        <v>0.002581625589356984</v>
      </c>
      <c r="Q22" s="70">
        <f t="shared" si="7"/>
        <v>0.006699543669759363</v>
      </c>
      <c r="R22" s="70">
        <f t="shared" si="8"/>
        <v>0.016055447897762552</v>
      </c>
      <c r="S22" s="70">
        <f t="shared" si="8"/>
        <v>0.012283078666306792</v>
      </c>
      <c r="T22" s="70">
        <f t="shared" si="8"/>
        <v>0.003011251795901854</v>
      </c>
      <c r="U22" s="71">
        <f t="shared" si="15"/>
        <v>1.2475298073109473</v>
      </c>
      <c r="V22" s="72">
        <f t="shared" si="9"/>
        <v>-0.0003121101077794286</v>
      </c>
      <c r="W22" s="73">
        <f t="shared" si="16"/>
        <v>0.035153908790002575</v>
      </c>
      <c r="X22" s="71">
        <f t="shared" si="17"/>
        <v>1.1816267212503948</v>
      </c>
      <c r="Y22" s="72">
        <f t="shared" si="10"/>
        <v>-0.008283385742293703</v>
      </c>
      <c r="Z22" s="73">
        <f t="shared" si="18"/>
        <v>0.02588208191959751</v>
      </c>
      <c r="AA22" s="71">
        <f t="shared" si="19"/>
        <v>1.2708767905544476</v>
      </c>
      <c r="AB22" s="72">
        <f t="shared" si="11"/>
        <v>0.002425339852235142</v>
      </c>
      <c r="AC22" s="73">
        <f t="shared" si="20"/>
        <v>0.038165160585904356</v>
      </c>
      <c r="AD22" s="46">
        <f t="shared" si="21"/>
        <v>1.1552071947197045</v>
      </c>
      <c r="AE22" s="95">
        <f t="shared" si="12"/>
        <v>-0.011586325881534298</v>
      </c>
      <c r="AF22" s="96">
        <f t="shared" si="22"/>
        <v>0.02210971268814177</v>
      </c>
      <c r="AG22" s="97">
        <f t="shared" si="23"/>
        <v>1.2980749962540248</v>
      </c>
      <c r="AH22" s="95">
        <f t="shared" si="13"/>
        <v>0.00556051242735478</v>
      </c>
      <c r="AI22" s="17">
        <f t="shared" si="24"/>
        <v>0.03927182687040509</v>
      </c>
      <c r="AJ22" s="148"/>
      <c r="AK22" s="116"/>
      <c r="AL22" s="117"/>
      <c r="AM22" s="117"/>
      <c r="AN22" s="159"/>
      <c r="AO22" s="159"/>
      <c r="AP22" s="2">
        <v>7</v>
      </c>
      <c r="AQ22" s="26"/>
      <c r="AR22" s="29"/>
      <c r="AS22" s="29"/>
      <c r="AT22" s="29"/>
      <c r="AU22" s="29"/>
      <c r="AV22" s="29"/>
      <c r="AW22" s="21"/>
      <c r="AX22" s="29"/>
      <c r="AY22" s="29"/>
      <c r="AZ22" s="20"/>
      <c r="BA22" s="20"/>
      <c r="BB22" s="20"/>
      <c r="BC22" s="20"/>
      <c r="BO22" s="135">
        <v>25</v>
      </c>
      <c r="BP22" s="139"/>
      <c r="BQ22" s="137">
        <v>-0.014050283617039572</v>
      </c>
      <c r="BR22" s="138"/>
      <c r="BS22" s="139"/>
      <c r="BT22" s="137">
        <v>0.003665117697566922</v>
      </c>
      <c r="BU22" s="138"/>
    </row>
    <row r="23" spans="3:73" ht="12.75">
      <c r="C23" s="120">
        <f t="shared" si="0"/>
        <v>8</v>
      </c>
      <c r="D23" s="4">
        <f t="shared" si="1"/>
        <v>8</v>
      </c>
      <c r="E23" s="5">
        <f t="shared" si="2"/>
        <v>43255</v>
      </c>
      <c r="F23" s="5">
        <f t="shared" si="3"/>
        <v>43191</v>
      </c>
      <c r="G23" s="103">
        <v>0.7697589706140104</v>
      </c>
      <c r="H23" s="105">
        <v>288.6183299818425</v>
      </c>
      <c r="I23" s="17">
        <f t="shared" si="4"/>
        <v>0.032882906870001394</v>
      </c>
      <c r="J23" s="27">
        <f t="shared" si="5"/>
        <v>772.590824047562</v>
      </c>
      <c r="K23" s="17">
        <f t="shared" si="6"/>
        <v>0.036188115339352844</v>
      </c>
      <c r="L23" s="16">
        <f t="shared" si="14"/>
        <v>0.036188115339352844</v>
      </c>
      <c r="M23" s="40">
        <f>(M20*2+M25*3)/5</f>
        <v>0.007134407465516501</v>
      </c>
      <c r="N23" s="41">
        <f>(N20*2+N25*3)/5</f>
        <v>-0.35090624629241784</v>
      </c>
      <c r="O23" s="41">
        <f>(O20*2+O25*3)/5</f>
        <v>0.4168</v>
      </c>
      <c r="P23" s="70">
        <f t="shared" si="7"/>
        <v>0.0025035743855136316</v>
      </c>
      <c r="Q23" s="70">
        <f t="shared" si="7"/>
        <v>0.006277625345753181</v>
      </c>
      <c r="R23" s="70">
        <f t="shared" si="8"/>
        <v>0.016329401523785227</v>
      </c>
      <c r="S23" s="70">
        <f t="shared" si="8"/>
        <v>0.012465740685106025</v>
      </c>
      <c r="T23" s="70">
        <f t="shared" si="8"/>
        <v>0.002988573026050313</v>
      </c>
      <c r="U23" s="71">
        <f t="shared" si="15"/>
        <v>1.2920705096066218</v>
      </c>
      <c r="V23" s="72">
        <f t="shared" si="9"/>
        <v>-0.00033365401969365216</v>
      </c>
      <c r="W23" s="73">
        <f t="shared" si="16"/>
        <v>0.035703116698816206</v>
      </c>
      <c r="X23" s="71">
        <f t="shared" si="17"/>
        <v>1.2126160034259272</v>
      </c>
      <c r="Y23" s="72">
        <f t="shared" si="10"/>
        <v>-0.008492714244790811</v>
      </c>
      <c r="Z23" s="73">
        <f t="shared" si="18"/>
        <v>0.02622594903976072</v>
      </c>
      <c r="AA23" s="71">
        <f t="shared" si="19"/>
        <v>1.3200491610131144</v>
      </c>
      <c r="AB23" s="72">
        <f t="shared" si="11"/>
        <v>0.002435089489223774</v>
      </c>
      <c r="AC23" s="73">
        <f t="shared" si="20"/>
        <v>0.038691689724866585</v>
      </c>
      <c r="AD23" s="46">
        <f t="shared" si="21"/>
        <v>1.1810402709399892</v>
      </c>
      <c r="AE23" s="95">
        <f t="shared" si="12"/>
        <v>-0.011865636229254184</v>
      </c>
      <c r="AF23" s="96">
        <f t="shared" si="22"/>
        <v>0.022362288201081437</v>
      </c>
      <c r="AG23" s="97">
        <f t="shared" si="23"/>
        <v>1.349319320515173</v>
      </c>
      <c r="AH23" s="95">
        <f t="shared" si="13"/>
        <v>0.005277214425340793</v>
      </c>
      <c r="AI23" s="17">
        <f t="shared" si="24"/>
        <v>0.039477167659055734</v>
      </c>
      <c r="AJ23" s="148"/>
      <c r="AK23" s="116"/>
      <c r="AL23" s="117"/>
      <c r="AM23" s="117"/>
      <c r="AN23" s="159"/>
      <c r="AO23" s="159"/>
      <c r="AP23" s="2">
        <v>8</v>
      </c>
      <c r="AQ23" s="26"/>
      <c r="AR23" s="29"/>
      <c r="AS23" s="29"/>
      <c r="AT23" s="29"/>
      <c r="AU23" s="29"/>
      <c r="AV23" s="29"/>
      <c r="AW23" s="21"/>
      <c r="AX23" s="29"/>
      <c r="AY23" s="29"/>
      <c r="AZ23" s="20"/>
      <c r="BA23" s="20"/>
      <c r="BB23" s="20"/>
      <c r="BC23" s="20"/>
      <c r="BO23" s="135">
        <v>30</v>
      </c>
      <c r="BP23" s="139"/>
      <c r="BQ23" s="137">
        <v>-0.013926716082572765</v>
      </c>
      <c r="BR23" s="138"/>
      <c r="BS23" s="139"/>
      <c r="BT23" s="137">
        <v>0.0037609352533054083</v>
      </c>
      <c r="BU23" s="138"/>
    </row>
    <row r="24" spans="3:73" ht="12.75">
      <c r="C24" s="120">
        <f t="shared" si="0"/>
        <v>9</v>
      </c>
      <c r="D24" s="4">
        <f t="shared" si="1"/>
        <v>8.999315537303216</v>
      </c>
      <c r="E24" s="5">
        <f t="shared" si="2"/>
        <v>43620</v>
      </c>
      <c r="F24" s="5">
        <f t="shared" si="3"/>
        <v>43556</v>
      </c>
      <c r="G24" s="103">
        <v>0.7341801525093373</v>
      </c>
      <c r="H24" s="105">
        <v>299.161957376254</v>
      </c>
      <c r="I24" s="17">
        <f t="shared" si="4"/>
        <v>0.03328765834000147</v>
      </c>
      <c r="J24" s="27">
        <f t="shared" si="5"/>
        <v>858.9803192744673</v>
      </c>
      <c r="K24" s="17">
        <f t="shared" si="6"/>
        <v>0.03653138522101074</v>
      </c>
      <c r="L24" s="16">
        <f t="shared" si="14"/>
        <v>0.03653138522101074</v>
      </c>
      <c r="M24" s="40">
        <f>(M20*1+M25*4)/5</f>
        <v>0.006375626159956052</v>
      </c>
      <c r="N24" s="41">
        <f>(N20*1+N25*4)/5</f>
        <v>-0.3408998140938283</v>
      </c>
      <c r="O24" s="41">
        <f>(O20*1+O25*4)/5</f>
        <v>0.40440000000000004</v>
      </c>
      <c r="P24" s="70">
        <f t="shared" si="7"/>
        <v>0.0023396168596640336</v>
      </c>
      <c r="Q24" s="70">
        <f t="shared" si="7"/>
        <v>0.005794382917586431</v>
      </c>
      <c r="R24" s="70">
        <f t="shared" si="8"/>
        <v>0.016267900859556123</v>
      </c>
      <c r="S24" s="70">
        <f t="shared" si="8"/>
        <v>0.01232576813859717</v>
      </c>
      <c r="T24" s="70">
        <f t="shared" si="8"/>
        <v>0.0028063383733179623</v>
      </c>
      <c r="U24" s="71">
        <f t="shared" si="15"/>
        <v>1.3386685980217776</v>
      </c>
      <c r="V24" s="72">
        <f t="shared" si="9"/>
        <v>-0.0003483940588118184</v>
      </c>
      <c r="W24" s="73">
        <f t="shared" si="16"/>
        <v>0.036064663707356726</v>
      </c>
      <c r="X24" s="71">
        <f t="shared" si="17"/>
        <v>1.2448051789187757</v>
      </c>
      <c r="Y24" s="72">
        <f t="shared" si="10"/>
        <v>-0.008658240266301354</v>
      </c>
      <c r="Z24" s="73">
        <f t="shared" si="18"/>
        <v>0.02654523394207775</v>
      </c>
      <c r="AA24" s="71">
        <f t="shared" si="19"/>
        <v>1.3713607946974482</v>
      </c>
      <c r="AB24" s="72">
        <f t="shared" si="11"/>
        <v>0.002424515596747945</v>
      </c>
      <c r="AC24" s="73">
        <f t="shared" si="20"/>
        <v>0.038871002080674844</v>
      </c>
      <c r="AD24" s="46">
        <f t="shared" si="21"/>
        <v>1.2077354437302632</v>
      </c>
      <c r="AE24" s="95">
        <f t="shared" si="12"/>
        <v>-0.012094305816750639</v>
      </c>
      <c r="AF24" s="96">
        <f t="shared" si="22"/>
        <v>0.02260310122111875</v>
      </c>
      <c r="AG24" s="97">
        <f t="shared" si="23"/>
        <v>1.4026436506332067</v>
      </c>
      <c r="AH24" s="95">
        <f t="shared" si="13"/>
        <v>0.005023409410708224</v>
      </c>
      <c r="AI24" s="17">
        <f t="shared" si="24"/>
        <v>0.039519429765279224</v>
      </c>
      <c r="AJ24" s="148"/>
      <c r="AK24" s="116"/>
      <c r="AL24" s="117"/>
      <c r="AM24" s="117"/>
      <c r="AN24" s="159"/>
      <c r="AO24" s="159"/>
      <c r="AP24" s="2">
        <v>9</v>
      </c>
      <c r="AQ24" s="26"/>
      <c r="AR24" s="29"/>
      <c r="AS24" s="29"/>
      <c r="AT24" s="29"/>
      <c r="AU24" s="29"/>
      <c r="AV24" s="29"/>
      <c r="AW24" s="21"/>
      <c r="AX24" s="29"/>
      <c r="AY24" s="29"/>
      <c r="AZ24" s="20"/>
      <c r="BA24" s="20"/>
      <c r="BB24" s="20"/>
      <c r="BC24" s="20"/>
      <c r="BO24" s="135">
        <v>40</v>
      </c>
      <c r="BP24" s="139"/>
      <c r="BQ24" s="137">
        <v>-0.01333862821030768</v>
      </c>
      <c r="BR24" s="138"/>
      <c r="BS24" s="139"/>
      <c r="BT24" s="137">
        <v>0.004006853599351379</v>
      </c>
      <c r="BU24" s="138"/>
    </row>
    <row r="25" spans="3:73" ht="13.5" thickBot="1">
      <c r="C25" s="120">
        <f t="shared" si="0"/>
        <v>10</v>
      </c>
      <c r="D25" s="4">
        <f t="shared" si="1"/>
        <v>10.001368925393566</v>
      </c>
      <c r="E25" s="6">
        <f t="shared" si="2"/>
        <v>43986</v>
      </c>
      <c r="F25" s="6">
        <f t="shared" si="3"/>
        <v>43922</v>
      </c>
      <c r="G25" s="103">
        <v>0.7000467194022691</v>
      </c>
      <c r="H25" s="105">
        <v>310.3609849095748</v>
      </c>
      <c r="I25" s="16">
        <f t="shared" si="4"/>
        <v>0.033701611900001316</v>
      </c>
      <c r="J25" s="27">
        <f t="shared" si="5"/>
        <v>943.7844871332977</v>
      </c>
      <c r="K25" s="16">
        <f t="shared" si="6"/>
        <v>0.03743466459285094</v>
      </c>
      <c r="L25" s="16">
        <f t="shared" si="14"/>
        <v>0.03743466459285094</v>
      </c>
      <c r="M25" s="38">
        <v>0.005616844854395602</v>
      </c>
      <c r="N25" s="39">
        <v>-0.3308933818952387</v>
      </c>
      <c r="O25" s="39">
        <v>0.392</v>
      </c>
      <c r="P25" s="70">
        <f t="shared" si="7"/>
        <v>0.00207048444038768</v>
      </c>
      <c r="Q25" s="70">
        <f t="shared" si="7"/>
        <v>0.0050732337909599355</v>
      </c>
      <c r="R25" s="70">
        <f t="shared" si="8"/>
        <v>0.01657637610041906</v>
      </c>
      <c r="S25" s="70">
        <f t="shared" si="8"/>
        <v>0.012507898383810879</v>
      </c>
      <c r="T25" s="70">
        <f t="shared" si="8"/>
        <v>0.002643015652480941</v>
      </c>
      <c r="U25" s="71">
        <f t="shared" si="15"/>
        <v>1.3880147784346883</v>
      </c>
      <c r="V25" s="74">
        <f t="shared" si="9"/>
        <v>-0.0003707295182842074</v>
      </c>
      <c r="W25" s="73">
        <f t="shared" si="16"/>
        <v>0.03686213338075772</v>
      </c>
      <c r="X25" s="71">
        <f t="shared" si="17"/>
        <v>1.2784114963437514</v>
      </c>
      <c r="Y25" s="74">
        <f t="shared" si="10"/>
        <v>-0.008835656442752748</v>
      </c>
      <c r="Z25" s="73">
        <f t="shared" si="18"/>
        <v>0.026997250649427595</v>
      </c>
      <c r="AA25" s="71">
        <f t="shared" si="19"/>
        <v>1.4255366072703113</v>
      </c>
      <c r="AB25" s="74">
        <f t="shared" si="11"/>
        <v>0.0023892359155033294</v>
      </c>
      <c r="AC25" s="73">
        <f t="shared" si="20"/>
        <v>0.03950514903323854</v>
      </c>
      <c r="AD25" s="46">
        <f t="shared" si="21"/>
        <v>1.2354273354824723</v>
      </c>
      <c r="AE25" s="98">
        <f t="shared" si="12"/>
        <v>-0.01233484990627498</v>
      </c>
      <c r="AF25" s="96">
        <f t="shared" si="22"/>
        <v>0.022928772932819363</v>
      </c>
      <c r="AG25" s="97">
        <f t="shared" si="23"/>
        <v>1.4585598752795441</v>
      </c>
      <c r="AH25" s="98">
        <f t="shared" si="13"/>
        <v>0.00476473281122991</v>
      </c>
      <c r="AI25" s="17">
        <f t="shared" si="24"/>
        <v>0.03986488273132993</v>
      </c>
      <c r="AJ25" s="148">
        <f>10000*ABS(AK25-V25)+10000*ABS(AM25-AB25)+10000*ABS(AL25-Y25)</f>
        <v>0.05793190968716999</v>
      </c>
      <c r="AK25" s="161">
        <f>VLOOKUP($AP25,$BO$9:$BW$16,3)</f>
        <v>-0.0003673688974751843</v>
      </c>
      <c r="AL25" s="162">
        <f>VLOOKUP($AP25,$BO$9:$BW$16,9)</f>
        <v>-0.008834732057348249</v>
      </c>
      <c r="AM25" s="162">
        <f>VLOOKUP($AP25,$BO$9:$BW$16,6)</f>
        <v>0.002387727730748135</v>
      </c>
      <c r="AN25" s="157">
        <f>VLOOKUP($AP25,$BO$18:$BT$25,3)</f>
        <v>-0.012338712883197323</v>
      </c>
      <c r="AO25" s="157">
        <f>VLOOKUP($AP25,$BO$18:$BT$25,6)</f>
        <v>0.004729361574469626</v>
      </c>
      <c r="AP25" s="2">
        <v>10</v>
      </c>
      <c r="AQ25" s="26"/>
      <c r="AR25" s="29"/>
      <c r="AS25" s="29"/>
      <c r="AT25" s="29"/>
      <c r="AU25" s="29"/>
      <c r="AV25" s="29"/>
      <c r="AW25" s="21"/>
      <c r="AX25" s="29"/>
      <c r="AY25" s="29"/>
      <c r="AZ25" s="20"/>
      <c r="BA25" s="20"/>
      <c r="BB25" s="20"/>
      <c r="BC25" s="20"/>
      <c r="BO25" s="140">
        <v>50</v>
      </c>
      <c r="BP25" s="141"/>
      <c r="BQ25" s="142">
        <v>-0.013230939705286549</v>
      </c>
      <c r="BR25" s="143"/>
      <c r="BS25" s="141"/>
      <c r="BT25" s="142">
        <v>0.004085675570748459</v>
      </c>
      <c r="BU25" s="143"/>
    </row>
    <row r="26" spans="3:55" ht="13.5" thickTop="1">
      <c r="C26" s="120">
        <f t="shared" si="0"/>
        <v>11</v>
      </c>
      <c r="D26" s="4">
        <f t="shared" si="1"/>
        <v>11.000684462696784</v>
      </c>
      <c r="E26" s="5">
        <f t="shared" si="2"/>
        <v>44351</v>
      </c>
      <c r="F26" s="5">
        <f t="shared" si="3"/>
        <v>44287</v>
      </c>
      <c r="G26" s="103">
        <v>0.6670488401985365</v>
      </c>
      <c r="H26" s="105">
        <v>321.79034514047436</v>
      </c>
      <c r="I26" s="17">
        <f t="shared" si="4"/>
        <v>0.03398525963000121</v>
      </c>
      <c r="J26" s="27">
        <f t="shared" si="5"/>
        <v>1025.4247941844774</v>
      </c>
      <c r="K26" s="17">
        <f t="shared" si="6"/>
        <v>0.03682602126755574</v>
      </c>
      <c r="L26" s="16">
        <f t="shared" si="14"/>
        <v>0.03682602126755574</v>
      </c>
      <c r="M26" s="40">
        <f>(M25*4+M30*1)/5</f>
        <v>0.0054861776427589885</v>
      </c>
      <c r="N26" s="41">
        <f>(N25*4+N30*1)/5</f>
        <v>-0.3548505433136841</v>
      </c>
      <c r="O26" s="41">
        <f>(O25*4+O30*1)/5</f>
        <v>0.38667027837297</v>
      </c>
      <c r="P26" s="70">
        <f t="shared" si="7"/>
        <v>0.002360879794815417</v>
      </c>
      <c r="Q26" s="70">
        <f t="shared" si="7"/>
        <v>0.005445399036780287</v>
      </c>
      <c r="R26" s="70">
        <f t="shared" si="8"/>
        <v>0.01632073632504131</v>
      </c>
      <c r="S26" s="70">
        <f t="shared" si="8"/>
        <v>0.01227142030433603</v>
      </c>
      <c r="T26" s="70">
        <f t="shared" si="8"/>
        <v>0.0026100556856497627</v>
      </c>
      <c r="U26" s="71">
        <f t="shared" si="15"/>
        <v>1.438783980366098</v>
      </c>
      <c r="V26" s="72">
        <f t="shared" si="9"/>
        <v>-0.00035971020262448583</v>
      </c>
      <c r="W26" s="73">
        <f t="shared" si="16"/>
        <v>0.036576845376721234</v>
      </c>
      <c r="X26" s="71">
        <f t="shared" si="17"/>
        <v>1.3128205563744424</v>
      </c>
      <c r="Y26" s="72">
        <f t="shared" si="10"/>
        <v>-0.008933152840824743</v>
      </c>
      <c r="Z26" s="73">
        <f t="shared" si="18"/>
        <v>0.02691548075803496</v>
      </c>
      <c r="AA26" s="71">
        <f t="shared" si="19"/>
        <v>1.4813989692602012</v>
      </c>
      <c r="AB26" s="72">
        <f t="shared" si="11"/>
        <v>0.0023866659975613214</v>
      </c>
      <c r="AC26" s="73">
        <f t="shared" si="20"/>
        <v>0.039186901062371104</v>
      </c>
      <c r="AD26" s="46">
        <f t="shared" si="21"/>
        <v>1.263676820456615</v>
      </c>
      <c r="AE26" s="95">
        <f t="shared" si="12"/>
        <v>-0.012482279168774424</v>
      </c>
      <c r="AF26" s="96">
        <f t="shared" si="22"/>
        <v>0.02286616473732983</v>
      </c>
      <c r="AG26" s="97">
        <f t="shared" si="23"/>
        <v>1.5164083503111914</v>
      </c>
      <c r="AH26" s="95">
        <f t="shared" si="13"/>
        <v>0.004589666470815157</v>
      </c>
      <c r="AI26" s="17">
        <f t="shared" si="24"/>
        <v>0.03966136461868608</v>
      </c>
      <c r="AJ26" s="148"/>
      <c r="AK26" s="114"/>
      <c r="AL26" s="26"/>
      <c r="AM26" s="26"/>
      <c r="AN26" s="158"/>
      <c r="AO26" s="158"/>
      <c r="AP26" s="2">
        <v>11</v>
      </c>
      <c r="AQ26" s="26"/>
      <c r="AR26" s="29"/>
      <c r="AS26" s="29"/>
      <c r="AT26" s="29"/>
      <c r="AU26" s="29"/>
      <c r="AV26" s="29"/>
      <c r="AW26" s="21"/>
      <c r="AX26" s="29"/>
      <c r="AY26" s="29"/>
      <c r="AZ26" s="20"/>
      <c r="BA26" s="20"/>
      <c r="BB26" s="20"/>
      <c r="BC26" s="20"/>
    </row>
    <row r="27" spans="3:55" ht="15" customHeight="1">
      <c r="C27" s="120">
        <f t="shared" si="0"/>
        <v>12</v>
      </c>
      <c r="D27" s="4">
        <f t="shared" si="1"/>
        <v>12</v>
      </c>
      <c r="E27" s="5">
        <f t="shared" si="2"/>
        <v>44716</v>
      </c>
      <c r="F27" s="5">
        <f t="shared" si="3"/>
        <v>44652</v>
      </c>
      <c r="G27" s="103">
        <v>0.6352981186897632</v>
      </c>
      <c r="H27" s="105">
        <v>334.006789262231</v>
      </c>
      <c r="I27" s="17">
        <f t="shared" si="4"/>
        <v>0.0343162368300014</v>
      </c>
      <c r="J27" s="27">
        <f t="shared" si="5"/>
        <v>1105.5452710576744</v>
      </c>
      <c r="K27" s="17">
        <f t="shared" si="6"/>
        <v>0.037963985887841556</v>
      </c>
      <c r="L27" s="16">
        <f t="shared" si="14"/>
        <v>0.037963985887841556</v>
      </c>
      <c r="M27" s="40">
        <f>(M25*3+M30*2)/5</f>
        <v>0.005355510431122375</v>
      </c>
      <c r="N27" s="41">
        <f>(N25*3+N30*2)/5</f>
        <v>-0.37880770473212955</v>
      </c>
      <c r="O27" s="41">
        <f>(O25*3+O30*2)/5</f>
        <v>0.3813405567459401</v>
      </c>
      <c r="P27" s="70">
        <f t="shared" si="7"/>
        <v>0.0025601094556374645</v>
      </c>
      <c r="Q27" s="70">
        <f t="shared" si="7"/>
        <v>0.00541742304614303</v>
      </c>
      <c r="R27" s="70">
        <f t="shared" si="8"/>
        <v>0.017526840164806178</v>
      </c>
      <c r="S27" s="70">
        <f t="shared" si="8"/>
        <v>0.013381408933984587</v>
      </c>
      <c r="T27" s="70">
        <f t="shared" si="8"/>
        <v>0.002891615120136794</v>
      </c>
      <c r="U27" s="71">
        <f t="shared" si="15"/>
        <v>1.4929289900528868</v>
      </c>
      <c r="V27" s="72">
        <f t="shared" si="9"/>
        <v>-0.0003573683190003507</v>
      </c>
      <c r="W27" s="73">
        <f t="shared" si="16"/>
        <v>0.03763248022334231</v>
      </c>
      <c r="X27" s="71">
        <f t="shared" si="17"/>
        <v>1.3484540330480521</v>
      </c>
      <c r="Y27" s="72">
        <f t="shared" si="10"/>
        <v>-0.009090077710554478</v>
      </c>
      <c r="Z27" s="73">
        <f t="shared" si="18"/>
        <v>0.027142686409494576</v>
      </c>
      <c r="AA27" s="71">
        <f t="shared" si="19"/>
        <v>1.5414313223322333</v>
      </c>
      <c r="AB27" s="72">
        <f t="shared" si="11"/>
        <v>0.0024010691804177142</v>
      </c>
      <c r="AC27" s="73">
        <f t="shared" si="20"/>
        <v>0.040524095343479116</v>
      </c>
      <c r="AD27" s="46">
        <f t="shared" si="21"/>
        <v>1.2927379187600299</v>
      </c>
      <c r="AE27" s="95">
        <f t="shared" si="12"/>
        <v>-0.012688816885211507</v>
      </c>
      <c r="AF27" s="96">
        <f t="shared" si="22"/>
        <v>0.022997255178673015</v>
      </c>
      <c r="AG27" s="97">
        <f t="shared" si="23"/>
        <v>1.5778074117528886</v>
      </c>
      <c r="AH27" s="95">
        <f t="shared" si="13"/>
        <v>0.004418126892289154</v>
      </c>
      <c r="AI27" s="17">
        <f t="shared" si="24"/>
        <v>0.04048979381384776</v>
      </c>
      <c r="AJ27" s="148"/>
      <c r="AK27" s="116"/>
      <c r="AL27" s="117"/>
      <c r="AM27" s="117"/>
      <c r="AN27" s="159"/>
      <c r="AO27" s="159"/>
      <c r="AP27" s="2">
        <v>12</v>
      </c>
      <c r="AQ27" s="26"/>
      <c r="AR27" s="29"/>
      <c r="AS27" s="29"/>
      <c r="AT27" s="29"/>
      <c r="AU27" s="29"/>
      <c r="AV27" s="29"/>
      <c r="AW27" s="21"/>
      <c r="AX27" s="29"/>
      <c r="AY27" s="29"/>
      <c r="AZ27" s="20"/>
      <c r="BA27" s="20"/>
      <c r="BB27" s="20"/>
      <c r="BC27" s="20"/>
    </row>
    <row r="28" spans="3:55" ht="12.75">
      <c r="C28" s="120">
        <f t="shared" si="0"/>
        <v>13</v>
      </c>
      <c r="D28" s="4">
        <f t="shared" si="1"/>
        <v>12.999315537303216</v>
      </c>
      <c r="E28" s="5">
        <f t="shared" si="2"/>
        <v>45081</v>
      </c>
      <c r="F28" s="5">
        <f t="shared" si="3"/>
        <v>45017</v>
      </c>
      <c r="G28" s="103">
        <v>0.6052176129100595</v>
      </c>
      <c r="H28" s="105">
        <v>346.5526782857565</v>
      </c>
      <c r="I28" s="17">
        <f t="shared" si="4"/>
        <v>0.03456553304000143</v>
      </c>
      <c r="J28" s="27">
        <f t="shared" si="5"/>
        <v>1183.5942997735983</v>
      </c>
      <c r="K28" s="17">
        <f t="shared" si="6"/>
        <v>0.037561778463358175</v>
      </c>
      <c r="L28" s="16">
        <f t="shared" si="14"/>
        <v>0.037561778463358175</v>
      </c>
      <c r="M28" s="40">
        <f>(M25*2+M30*3)/5</f>
        <v>0.005224843219485761</v>
      </c>
      <c r="N28" s="41">
        <f>(N25*2+N30*3)/5</f>
        <v>-0.402764866150575</v>
      </c>
      <c r="O28" s="41">
        <f>(O25*2+O30*3)/5</f>
        <v>0.3760108351189101</v>
      </c>
      <c r="P28" s="70">
        <f t="shared" si="7"/>
        <v>0.002803186106003628</v>
      </c>
      <c r="Q28" s="70">
        <f t="shared" si="7"/>
        <v>0.005679184402997681</v>
      </c>
      <c r="R28" s="70">
        <f t="shared" si="8"/>
        <v>0.01738558474598206</v>
      </c>
      <c r="S28" s="70">
        <f t="shared" si="8"/>
        <v>0.013240962866355857</v>
      </c>
      <c r="T28" s="70">
        <f t="shared" si="8"/>
        <v>0.0028355205783224587</v>
      </c>
      <c r="U28" s="71">
        <f t="shared" si="15"/>
        <v>1.5489577849676754</v>
      </c>
      <c r="V28" s="72">
        <f t="shared" si="9"/>
        <v>-0.00033244167173140937</v>
      </c>
      <c r="W28" s="73">
        <f t="shared" si="16"/>
        <v>0.03752944399103919</v>
      </c>
      <c r="X28" s="71">
        <f t="shared" si="17"/>
        <v>1.3850295025368726</v>
      </c>
      <c r="Y28" s="72">
        <f t="shared" si="10"/>
        <v>-0.009193510610073119</v>
      </c>
      <c r="Z28" s="73">
        <f t="shared" si="18"/>
        <v>0.027124001703005884</v>
      </c>
      <c r="AA28" s="71">
        <f t="shared" si="19"/>
        <v>1.6036511430442784</v>
      </c>
      <c r="AB28" s="72">
        <f t="shared" si="11"/>
        <v>0.0024319074641512284</v>
      </c>
      <c r="AC28" s="73">
        <f t="shared" si="20"/>
        <v>0.04036496456936178</v>
      </c>
      <c r="AD28" s="46">
        <f t="shared" si="21"/>
        <v>1.322444234407302</v>
      </c>
      <c r="AE28" s="95">
        <f t="shared" si="12"/>
        <v>-0.012834179646052712</v>
      </c>
      <c r="AF28" s="96">
        <f t="shared" si="22"/>
        <v>0.02297937982337972</v>
      </c>
      <c r="AG28" s="97">
        <f t="shared" si="23"/>
        <v>1.6415594180701016</v>
      </c>
      <c r="AH28" s="95">
        <f t="shared" si="13"/>
        <v>0.004297279840527191</v>
      </c>
      <c r="AI28" s="17">
        <f t="shared" si="24"/>
        <v>0.040405442288033555</v>
      </c>
      <c r="AJ28" s="148"/>
      <c r="AK28" s="116"/>
      <c r="AL28" s="117"/>
      <c r="AM28" s="117"/>
      <c r="AN28" s="159"/>
      <c r="AO28" s="159"/>
      <c r="AP28" s="2">
        <v>13</v>
      </c>
      <c r="AQ28" s="26"/>
      <c r="AR28" s="29"/>
      <c r="AS28" s="29"/>
      <c r="AT28" s="29"/>
      <c r="AU28" s="29"/>
      <c r="AV28" s="29"/>
      <c r="AW28" s="21"/>
      <c r="AX28" s="29"/>
      <c r="AY28" s="29"/>
      <c r="AZ28" s="20"/>
      <c r="BA28" s="20"/>
      <c r="BB28" s="20"/>
      <c r="BC28" s="20"/>
    </row>
    <row r="29" spans="3:55" ht="12.75">
      <c r="C29" s="120">
        <f t="shared" si="0"/>
        <v>14</v>
      </c>
      <c r="D29" s="4">
        <f t="shared" si="1"/>
        <v>14.001368925393566</v>
      </c>
      <c r="E29" s="5">
        <f t="shared" si="2"/>
        <v>45447</v>
      </c>
      <c r="F29" s="5">
        <f t="shared" si="3"/>
        <v>45383</v>
      </c>
      <c r="G29" s="103">
        <v>0.5768800182265866</v>
      </c>
      <c r="H29" s="105">
        <v>359.777277856774</v>
      </c>
      <c r="I29" s="17">
        <f t="shared" si="4"/>
        <v>0.03482189813000125</v>
      </c>
      <c r="J29" s="27">
        <f t="shared" si="5"/>
        <v>1261.070245080594</v>
      </c>
      <c r="K29" s="17">
        <f t="shared" si="6"/>
        <v>0.03816043100989375</v>
      </c>
      <c r="L29" s="16">
        <f t="shared" si="14"/>
        <v>0.03816043100989375</v>
      </c>
      <c r="M29" s="40">
        <f>(M25*1+M30*4)/5</f>
        <v>0.005094176007849147</v>
      </c>
      <c r="N29" s="41">
        <f>(N25*1+N30*4)/5</f>
        <v>-0.4267220275690204</v>
      </c>
      <c r="O29" s="41">
        <f>(O25*1+O30*4)/5</f>
        <v>0.37068111349188004</v>
      </c>
      <c r="P29" s="70">
        <f t="shared" si="7"/>
        <v>0.002984005734359495</v>
      </c>
      <c r="Q29" s="70">
        <f t="shared" si="7"/>
        <v>0.005722950241937069</v>
      </c>
      <c r="R29" s="70">
        <f t="shared" si="8"/>
        <v>0.018084569712291748</v>
      </c>
      <c r="S29" s="70">
        <f t="shared" si="8"/>
        <v>0.013883381251830817</v>
      </c>
      <c r="T29" s="70">
        <f t="shared" si="8"/>
        <v>0.0029677775517051677</v>
      </c>
      <c r="U29" s="71">
        <f t="shared" si="15"/>
        <v>1.6080918184280306</v>
      </c>
      <c r="V29" s="72">
        <f t="shared" si="9"/>
        <v>-0.0003076208016152826</v>
      </c>
      <c r="W29" s="73">
        <f t="shared" si="16"/>
        <v>0.03817665919254809</v>
      </c>
      <c r="X29" s="71">
        <f t="shared" si="17"/>
        <v>1.4227868686641725</v>
      </c>
      <c r="Y29" s="72">
        <f t="shared" si="10"/>
        <v>-0.009315060043590506</v>
      </c>
      <c r="Z29" s="73">
        <f t="shared" si="18"/>
        <v>0.027261055492422415</v>
      </c>
      <c r="AA29" s="71">
        <f t="shared" si="19"/>
        <v>1.669632466059113</v>
      </c>
      <c r="AB29" s="72">
        <f t="shared" si="11"/>
        <v>0.00247120782108623</v>
      </c>
      <c r="AC29" s="73">
        <f t="shared" si="20"/>
        <v>0.04114443674425328</v>
      </c>
      <c r="AD29" s="46">
        <f t="shared" si="21"/>
        <v>1.3529396226099184</v>
      </c>
      <c r="AE29" s="95">
        <f t="shared" si="12"/>
        <v>-0.01299570814346751</v>
      </c>
      <c r="AF29" s="96">
        <f t="shared" si="22"/>
        <v>0.0230598670319615</v>
      </c>
      <c r="AG29" s="97">
        <f t="shared" si="23"/>
        <v>1.708724812670067</v>
      </c>
      <c r="AH29" s="95">
        <f t="shared" si="13"/>
        <v>0.004187408316343788</v>
      </c>
      <c r="AI29" s="17">
        <f t="shared" si="24"/>
        <v>0.0409156037001257</v>
      </c>
      <c r="AJ29" s="148"/>
      <c r="AK29" s="116"/>
      <c r="AL29" s="117"/>
      <c r="AM29" s="117"/>
      <c r="AN29" s="159"/>
      <c r="AO29" s="159"/>
      <c r="AP29" s="2">
        <v>14</v>
      </c>
      <c r="AQ29" s="26"/>
      <c r="AR29" s="29"/>
      <c r="AS29" s="29"/>
      <c r="AT29" s="29"/>
      <c r="AU29" s="29"/>
      <c r="AV29" s="29"/>
      <c r="AW29" s="21"/>
      <c r="AX29" s="29"/>
      <c r="AY29" s="29"/>
      <c r="AZ29" s="20"/>
      <c r="BA29" s="20"/>
      <c r="BB29" s="20"/>
      <c r="BC29" s="20"/>
    </row>
    <row r="30" spans="3:55" ht="12.75">
      <c r="C30" s="120">
        <f t="shared" si="0"/>
        <v>15</v>
      </c>
      <c r="D30" s="4">
        <f t="shared" si="1"/>
        <v>15.000684462696784</v>
      </c>
      <c r="E30" s="6">
        <f t="shared" si="2"/>
        <v>45812</v>
      </c>
      <c r="F30" s="6">
        <f t="shared" si="3"/>
        <v>45748</v>
      </c>
      <c r="G30" s="103">
        <v>0.5506545915576351</v>
      </c>
      <c r="H30" s="105">
        <v>373.5394944848146</v>
      </c>
      <c r="I30" s="16">
        <f t="shared" si="4"/>
        <v>0.03505022161000104</v>
      </c>
      <c r="J30" s="27">
        <f t="shared" si="5"/>
        <v>1338.826119701825</v>
      </c>
      <c r="K30" s="16">
        <f t="shared" si="6"/>
        <v>0.038252045015247704</v>
      </c>
      <c r="L30" s="16">
        <f t="shared" si="14"/>
        <v>0.038252045015247704</v>
      </c>
      <c r="M30" s="38">
        <v>0.0049635087962125336</v>
      </c>
      <c r="N30" s="39">
        <v>-0.4506791889874658</v>
      </c>
      <c r="O30" s="39">
        <v>0.3653513918648501</v>
      </c>
      <c r="P30" s="70">
        <f t="shared" si="7"/>
        <v>0.003162269585899046</v>
      </c>
      <c r="Q30" s="70">
        <f t="shared" si="7"/>
        <v>0.005838913420554506</v>
      </c>
      <c r="R30" s="70">
        <f t="shared" si="8"/>
        <v>0.018318771123128273</v>
      </c>
      <c r="S30" s="70">
        <f t="shared" si="8"/>
        <v>0.014090958435802213</v>
      </c>
      <c r="T30" s="70">
        <f t="shared" si="8"/>
        <v>0.0029691499675982913</v>
      </c>
      <c r="U30" s="71">
        <f t="shared" si="15"/>
        <v>1.6699151731333586</v>
      </c>
      <c r="V30" s="74">
        <f t="shared" si="9"/>
        <v>-0.0002743486798855166</v>
      </c>
      <c r="W30" s="73">
        <f t="shared" si="16"/>
        <v>0.03844516463354841</v>
      </c>
      <c r="X30" s="71">
        <f t="shared" si="17"/>
        <v>1.4616621810240589</v>
      </c>
      <c r="Y30" s="74">
        <f t="shared" si="10"/>
        <v>-0.009422382309351107</v>
      </c>
      <c r="Z30" s="73">
        <f t="shared" si="18"/>
        <v>0.027323356165344537</v>
      </c>
      <c r="AA30" s="71">
        <f t="shared" si="19"/>
        <v>1.7387791502767738</v>
      </c>
      <c r="AB30" s="74">
        <f t="shared" si="11"/>
        <v>0.002517123479880423</v>
      </c>
      <c r="AC30" s="73">
        <f t="shared" si="20"/>
        <v>0.04141431460114675</v>
      </c>
      <c r="AD30" s="46">
        <f t="shared" si="21"/>
        <v>1.3841864984870396</v>
      </c>
      <c r="AE30" s="98">
        <f t="shared" si="12"/>
        <v>-0.013139457075432626</v>
      </c>
      <c r="AF30" s="96">
        <f t="shared" si="22"/>
        <v>0.023095543478018454</v>
      </c>
      <c r="AG30" s="97">
        <f t="shared" si="23"/>
        <v>1.778990667141553</v>
      </c>
      <c r="AH30" s="98">
        <f t="shared" si="13"/>
        <v>0.004099784853484056</v>
      </c>
      <c r="AI30" s="17">
        <f t="shared" si="24"/>
        <v>0.0411218084682039</v>
      </c>
      <c r="AJ30" s="148">
        <f>10000*ABS(AK30-V30)+10000*ABS(AM30-AB30)+10000*ABS(AL30-Y30)</f>
        <v>0.038367752409618205</v>
      </c>
      <c r="AK30" s="161">
        <f>VLOOKUP($AP30,$BO$9:$BW$16,3)</f>
        <v>-0.00027351532686925584</v>
      </c>
      <c r="AL30" s="162">
        <f>VLOOKUP($AP30,$BO$9:$BW$16,9)</f>
        <v>-0.00942342281498576</v>
      </c>
      <c r="AM30" s="162">
        <f>VLOOKUP($AP30,$BO$9:$BW$16,6)</f>
        <v>0.0025190863964704713</v>
      </c>
      <c r="AN30" s="157">
        <f>VLOOKUP($AP30,$BO$18:$BT$25,3)</f>
        <v>-0.013151261112341439</v>
      </c>
      <c r="AO30" s="157">
        <f>VLOOKUP($AP30,$BO$18:$BT$25,6)</f>
        <v>0.003995520397239161</v>
      </c>
      <c r="AP30" s="2">
        <v>15</v>
      </c>
      <c r="AQ30" s="26"/>
      <c r="AR30" s="29"/>
      <c r="AS30" s="29"/>
      <c r="AT30" s="29"/>
      <c r="AU30" s="29"/>
      <c r="AV30" s="29"/>
      <c r="AW30" s="21"/>
      <c r="AX30" s="29"/>
      <c r="AY30" s="29"/>
      <c r="AZ30" s="20"/>
      <c r="BA30" s="20"/>
      <c r="BB30" s="20"/>
      <c r="BC30" s="20"/>
    </row>
    <row r="31" spans="3:55" ht="12.75">
      <c r="C31" s="120">
        <f t="shared" si="0"/>
        <v>16</v>
      </c>
      <c r="D31" s="4">
        <f t="shared" si="1"/>
        <v>16</v>
      </c>
      <c r="E31" s="5">
        <f t="shared" si="2"/>
        <v>46177</v>
      </c>
      <c r="F31" s="5">
        <f t="shared" si="3"/>
        <v>46113</v>
      </c>
      <c r="G31" s="103">
        <v>0.526651391795256</v>
      </c>
      <c r="H31" s="105">
        <v>387.95504508784154</v>
      </c>
      <c r="I31" s="17">
        <f t="shared" si="4"/>
        <v>0.035271214210001345</v>
      </c>
      <c r="J31" s="27">
        <f t="shared" si="5"/>
        <v>1418.3060299392193</v>
      </c>
      <c r="K31" s="17">
        <f t="shared" si="6"/>
        <v>0.03859177092614763</v>
      </c>
      <c r="L31" s="16">
        <f t="shared" si="14"/>
        <v>0.03859177092614763</v>
      </c>
      <c r="M31" s="40">
        <f>(M30*4+M35*1)/5</f>
        <v>0.0048715121578583095</v>
      </c>
      <c r="N31" s="41">
        <f>(N30*4+N35*1)/5</f>
        <v>-0.47007375402052665</v>
      </c>
      <c r="O31" s="41">
        <f>(O30*4+O35*1)/5</f>
        <v>0.3617480656452316</v>
      </c>
      <c r="P31" s="70">
        <f t="shared" si="7"/>
        <v>0.003366557069166244</v>
      </c>
      <c r="Q31" s="70">
        <f t="shared" si="7"/>
        <v>0.0059515922122743755</v>
      </c>
      <c r="R31" s="70">
        <f t="shared" si="8"/>
        <v>0.018808116178137217</v>
      </c>
      <c r="S31" s="70">
        <f t="shared" si="8"/>
        <v>0.014543363138422005</v>
      </c>
      <c r="T31" s="70">
        <f t="shared" si="8"/>
        <v>0.0030711578649135368</v>
      </c>
      <c r="U31" s="71">
        <f t="shared" si="15"/>
        <v>1.7348534485743323</v>
      </c>
      <c r="V31" s="72">
        <f t="shared" si="9"/>
        <v>-0.0002388625364571073</v>
      </c>
      <c r="W31" s="73">
        <f t="shared" si="16"/>
        <v>0.03888717013040033</v>
      </c>
      <c r="X31" s="71">
        <f t="shared" si="17"/>
        <v>1.5017335983494815</v>
      </c>
      <c r="Y31" s="72">
        <f t="shared" si="10"/>
        <v>-0.009531770690381691</v>
      </c>
      <c r="Z31" s="73">
        <f t="shared" si="18"/>
        <v>0.027414964856891988</v>
      </c>
      <c r="AA31" s="71">
        <f t="shared" si="19"/>
        <v>1.8117354161755</v>
      </c>
      <c r="AB31" s="72">
        <f t="shared" si="11"/>
        <v>0.0025700243818203017</v>
      </c>
      <c r="AC31" s="73">
        <f t="shared" si="20"/>
        <v>0.04195832799531396</v>
      </c>
      <c r="AD31" s="46">
        <f t="shared" si="21"/>
        <v>1.4162307091214907</v>
      </c>
      <c r="AE31" s="95">
        <f t="shared" si="12"/>
        <v>-0.013283028227539573</v>
      </c>
      <c r="AF31" s="96">
        <f t="shared" si="22"/>
        <v>0.02315021181717669</v>
      </c>
      <c r="AG31" s="97">
        <f t="shared" si="23"/>
        <v>1.852769333268903</v>
      </c>
      <c r="AH31" s="95">
        <f t="shared" si="13"/>
        <v>0.0040237778637794985</v>
      </c>
      <c r="AI31" s="17">
        <f t="shared" si="24"/>
        <v>0.04147220527350837</v>
      </c>
      <c r="AJ31" s="148"/>
      <c r="AK31" s="114"/>
      <c r="AL31" s="26"/>
      <c r="AM31" s="26"/>
      <c r="AN31" s="158"/>
      <c r="AO31" s="158"/>
      <c r="AP31" s="2">
        <v>16</v>
      </c>
      <c r="AQ31" s="26"/>
      <c r="AR31" s="29"/>
      <c r="AS31" s="29"/>
      <c r="AT31" s="29"/>
      <c r="AU31" s="29"/>
      <c r="AV31" s="29"/>
      <c r="AW31" s="21"/>
      <c r="AX31" s="29"/>
      <c r="AY31" s="29"/>
      <c r="AZ31" s="20"/>
      <c r="BA31" s="20"/>
      <c r="BB31" s="20"/>
      <c r="BC31" s="20"/>
    </row>
    <row r="32" spans="3:55" ht="12.75">
      <c r="C32" s="120">
        <f t="shared" si="0"/>
        <v>17</v>
      </c>
      <c r="D32" s="4">
        <f t="shared" si="1"/>
        <v>16.999315537303218</v>
      </c>
      <c r="E32" s="5">
        <f t="shared" si="2"/>
        <v>46542</v>
      </c>
      <c r="F32" s="5">
        <f t="shared" si="3"/>
        <v>46478</v>
      </c>
      <c r="G32" s="103">
        <v>0.5046277598564666</v>
      </c>
      <c r="H32" s="105">
        <v>403.12968483794634</v>
      </c>
      <c r="I32" s="17">
        <f t="shared" si="4"/>
        <v>0.03549689163000114</v>
      </c>
      <c r="J32" s="27">
        <f t="shared" si="5"/>
        <v>1500.155953354509</v>
      </c>
      <c r="K32" s="17">
        <f t="shared" si="6"/>
        <v>0.039114428185020644</v>
      </c>
      <c r="L32" s="16">
        <f t="shared" si="14"/>
        <v>0.039114428185020644</v>
      </c>
      <c r="M32" s="40">
        <f>(M30*3+M35*2)/5</f>
        <v>0.004779515519504086</v>
      </c>
      <c r="N32" s="41">
        <f>(N30*3+N35*2)/5</f>
        <v>-0.48946831905358745</v>
      </c>
      <c r="O32" s="41">
        <f>(O30*3+O35*2)/5</f>
        <v>0.3581447394256131</v>
      </c>
      <c r="P32" s="70">
        <f t="shared" si="7"/>
        <v>0.003547929966031194</v>
      </c>
      <c r="Q32" s="70">
        <f t="shared" si="7"/>
        <v>0.006022224702573292</v>
      </c>
      <c r="R32" s="70">
        <f t="shared" si="8"/>
        <v>0.019444274563649284</v>
      </c>
      <c r="S32" s="70">
        <f t="shared" si="8"/>
        <v>0.015136652887593936</v>
      </c>
      <c r="T32" s="70">
        <f t="shared" si="8"/>
        <v>0.0032077213083665165</v>
      </c>
      <c r="U32" s="71">
        <f t="shared" si="15"/>
        <v>1.8033014613631129</v>
      </c>
      <c r="V32" s="72">
        <f t="shared" si="9"/>
        <v>-0.00020492712942266067</v>
      </c>
      <c r="W32" s="73">
        <f t="shared" si="16"/>
        <v>0.03945463684268535</v>
      </c>
      <c r="X32" s="71">
        <f t="shared" si="17"/>
        <v>1.5430698747618816</v>
      </c>
      <c r="Y32" s="72">
        <f t="shared" si="10"/>
        <v>-0.009652459901604793</v>
      </c>
      <c r="Z32" s="73">
        <f t="shared" si="18"/>
        <v>0.0275257052634581</v>
      </c>
      <c r="AA32" s="71">
        <f t="shared" si="19"/>
        <v>1.8890283213753243</v>
      </c>
      <c r="AB32" s="72">
        <f t="shared" si="11"/>
        <v>0.002627324136605269</v>
      </c>
      <c r="AC32" s="73">
        <f t="shared" si="20"/>
        <v>0.042662358151051905</v>
      </c>
      <c r="AD32" s="46">
        <f t="shared" si="21"/>
        <v>1.4491128721049202</v>
      </c>
      <c r="AE32" s="95">
        <f t="shared" si="12"/>
        <v>-0.013436399669443988</v>
      </c>
      <c r="AF32" s="96">
        <f t="shared" si="22"/>
        <v>0.023218083587402738</v>
      </c>
      <c r="AG32" s="97">
        <f t="shared" si="23"/>
        <v>1.9304539718756255</v>
      </c>
      <c r="AH32" s="95">
        <f t="shared" si="13"/>
        <v>0.003952853579977766</v>
      </c>
      <c r="AI32" s="17">
        <f t="shared" si="24"/>
        <v>0.04192893157922728</v>
      </c>
      <c r="AJ32" s="148"/>
      <c r="AK32" s="116"/>
      <c r="AL32" s="117"/>
      <c r="AM32" s="117"/>
      <c r="AN32" s="159"/>
      <c r="AO32" s="159"/>
      <c r="AP32" s="2">
        <v>17</v>
      </c>
      <c r="AQ32" s="26"/>
      <c r="AR32" s="29"/>
      <c r="AS32" s="29"/>
      <c r="AT32" s="29"/>
      <c r="AU32" s="29"/>
      <c r="AV32" s="29"/>
      <c r="AW32" s="21"/>
      <c r="AX32" s="29"/>
      <c r="AY32" s="29"/>
      <c r="AZ32" s="20"/>
      <c r="BA32" s="20"/>
      <c r="BB32" s="20"/>
      <c r="BC32" s="20"/>
    </row>
    <row r="33" spans="3:49" ht="12.75">
      <c r="C33" s="120">
        <f t="shared" si="0"/>
        <v>18</v>
      </c>
      <c r="D33" s="4">
        <f t="shared" si="1"/>
        <v>18.001368925393567</v>
      </c>
      <c r="E33" s="5">
        <f t="shared" si="2"/>
        <v>46908</v>
      </c>
      <c r="F33" s="5">
        <f t="shared" si="3"/>
        <v>46844</v>
      </c>
      <c r="G33" s="103">
        <v>0.4842431771476366</v>
      </c>
      <c r="H33" s="105">
        <v>419.0818003205892</v>
      </c>
      <c r="I33" s="17">
        <f t="shared" si="4"/>
        <v>0.035722793780001316</v>
      </c>
      <c r="J33" s="27">
        <f t="shared" si="5"/>
        <v>1584.2822302367667</v>
      </c>
      <c r="K33" s="17">
        <f t="shared" si="6"/>
        <v>0.039570679318878366</v>
      </c>
      <c r="L33" s="16">
        <f t="shared" si="14"/>
        <v>0.039570679318878366</v>
      </c>
      <c r="M33" s="40">
        <f>(M30*2+M35*3)/5</f>
        <v>0.004687518881149863</v>
      </c>
      <c r="N33" s="41">
        <f>(N30*2+N35*3)/5</f>
        <v>-0.5088628840866483</v>
      </c>
      <c r="O33" s="41">
        <f>(O30*2+O35*3)/5</f>
        <v>0.3545414132059945</v>
      </c>
      <c r="P33" s="70">
        <f t="shared" si="7"/>
        <v>0.0037167454884501367</v>
      </c>
      <c r="Q33" s="70">
        <f t="shared" si="7"/>
        <v>0.006093495072850969</v>
      </c>
      <c r="R33" s="70">
        <f t="shared" si="8"/>
        <v>0.020008767767651765</v>
      </c>
      <c r="S33" s="70">
        <f t="shared" si="8"/>
        <v>0.015664174391729336</v>
      </c>
      <c r="T33" s="70">
        <f t="shared" si="8"/>
        <v>0.0033219489661162516</v>
      </c>
      <c r="U33" s="71">
        <f t="shared" si="15"/>
        <v>1.875371262351643</v>
      </c>
      <c r="V33" s="72">
        <f t="shared" si="9"/>
        <v>-0.00017174162104049984</v>
      </c>
      <c r="W33" s="73">
        <f t="shared" si="16"/>
        <v>0.03996547584121224</v>
      </c>
      <c r="X33" s="71">
        <f t="shared" si="17"/>
        <v>1.5856944803211963</v>
      </c>
      <c r="Y33" s="72">
        <f t="shared" si="10"/>
        <v>-0.009779619620357227</v>
      </c>
      <c r="Z33" s="73">
        <f t="shared" si="18"/>
        <v>0.0276232504155991</v>
      </c>
      <c r="AA33" s="71">
        <f t="shared" si="19"/>
        <v>1.9707994927957726</v>
      </c>
      <c r="AB33" s="72">
        <f t="shared" si="11"/>
        <v>0.002687595401070997</v>
      </c>
      <c r="AC33" s="73">
        <f t="shared" si="20"/>
        <v>0.0432874248073285</v>
      </c>
      <c r="AD33" s="46">
        <f t="shared" si="21"/>
        <v>1.4828462736664316</v>
      </c>
      <c r="AE33" s="95">
        <f t="shared" si="12"/>
        <v>-0.013594664042196447</v>
      </c>
      <c r="AF33" s="96">
        <f t="shared" si="22"/>
        <v>0.023278657039676798</v>
      </c>
      <c r="AG33" s="97">
        <f t="shared" si="23"/>
        <v>2.0121936891265535</v>
      </c>
      <c r="AH33" s="95">
        <f t="shared" si="13"/>
        <v>0.003887433995575007</v>
      </c>
      <c r="AI33" s="17">
        <f t="shared" si="24"/>
        <v>0.04234222542561317</v>
      </c>
      <c r="AJ33" s="148"/>
      <c r="AK33" s="116"/>
      <c r="AL33" s="117"/>
      <c r="AM33" s="117"/>
      <c r="AN33" s="159"/>
      <c r="AO33" s="159"/>
      <c r="AP33" s="2">
        <v>18</v>
      </c>
      <c r="AQ33" s="26"/>
      <c r="AW33" s="19"/>
    </row>
    <row r="34" spans="3:49" ht="12.75">
      <c r="C34" s="120">
        <f t="shared" si="0"/>
        <v>19</v>
      </c>
      <c r="D34" s="4">
        <f t="shared" si="1"/>
        <v>19.000684462696782</v>
      </c>
      <c r="E34" s="5">
        <f t="shared" si="2"/>
        <v>47273</v>
      </c>
      <c r="F34" s="5">
        <f t="shared" si="3"/>
        <v>47209</v>
      </c>
      <c r="G34" s="103">
        <v>0.4652862359432453</v>
      </c>
      <c r="H34" s="105">
        <v>435.6626385002736</v>
      </c>
      <c r="I34" s="17">
        <f t="shared" si="4"/>
        <v>0.03592464399000139</v>
      </c>
      <c r="J34" s="27">
        <f t="shared" si="5"/>
        <v>1670.1601810220511</v>
      </c>
      <c r="K34" s="17">
        <f t="shared" si="6"/>
        <v>0.03956468204298158</v>
      </c>
      <c r="L34" s="16">
        <f t="shared" si="14"/>
        <v>0.03956468204298158</v>
      </c>
      <c r="M34" s="40">
        <f>(M30*1+M35*4)/5</f>
        <v>0.00459552224279564</v>
      </c>
      <c r="N34" s="41">
        <f>(N30*1+N35*4)/5</f>
        <v>-0.5282574491197092</v>
      </c>
      <c r="O34" s="41">
        <f>(O30*1+O35*4)/5</f>
        <v>0.350938086986376</v>
      </c>
      <c r="P34" s="70">
        <f t="shared" si="7"/>
        <v>0.0038855104595463584</v>
      </c>
      <c r="Q34" s="70">
        <f t="shared" si="7"/>
        <v>0.006217186838463692</v>
      </c>
      <c r="R34" s="70">
        <f t="shared" si="8"/>
        <v>0.020143524844275514</v>
      </c>
      <c r="S34" s="70">
        <f t="shared" si="8"/>
        <v>0.015781868881445275</v>
      </c>
      <c r="T34" s="70">
        <f t="shared" si="8"/>
        <v>0.0032985227348906712</v>
      </c>
      <c r="U34" s="71">
        <f t="shared" si="15"/>
        <v>1.9506705499693031</v>
      </c>
      <c r="V34" s="72">
        <f t="shared" si="9"/>
        <v>-0.00013196215833044533</v>
      </c>
      <c r="W34" s="73">
        <f t="shared" si="16"/>
        <v>0.04015166976763718</v>
      </c>
      <c r="X34" s="71">
        <f t="shared" si="17"/>
        <v>1.6295679883668877</v>
      </c>
      <c r="Y34" s="72">
        <f t="shared" si="10"/>
        <v>-0.009890744732611534</v>
      </c>
      <c r="Z34" s="73">
        <f t="shared" si="18"/>
        <v>0.027668323621082624</v>
      </c>
      <c r="AA34" s="71">
        <f t="shared" si="19"/>
        <v>2.0564311101416335</v>
      </c>
      <c r="AB34" s="72">
        <f t="shared" si="11"/>
        <v>0.0027503901033043565</v>
      </c>
      <c r="AC34" s="73">
        <f t="shared" si="20"/>
        <v>0.04345019250252791</v>
      </c>
      <c r="AD34" s="46">
        <f t="shared" si="21"/>
        <v>1.5174064789550532</v>
      </c>
      <c r="AE34" s="95">
        <f t="shared" si="12"/>
        <v>-0.013734519793206834</v>
      </c>
      <c r="AF34" s="96">
        <f t="shared" si="22"/>
        <v>0.02330666765825251</v>
      </c>
      <c r="AG34" s="97">
        <f t="shared" si="23"/>
        <v>2.0976784101356296</v>
      </c>
      <c r="AH34" s="95">
        <f t="shared" si="13"/>
        <v>0.0038366029389182987</v>
      </c>
      <c r="AI34" s="17">
        <f t="shared" si="24"/>
        <v>0.04248334614655458</v>
      </c>
      <c r="AJ34" s="148"/>
      <c r="AK34" s="116"/>
      <c r="AL34" s="117"/>
      <c r="AM34" s="117"/>
      <c r="AN34" s="159"/>
      <c r="AO34" s="159"/>
      <c r="AP34" s="2">
        <v>19</v>
      </c>
      <c r="AQ34" s="26"/>
      <c r="AW34" s="19"/>
    </row>
    <row r="35" spans="3:49" ht="12.75">
      <c r="C35" s="120">
        <f t="shared" si="0"/>
        <v>20</v>
      </c>
      <c r="D35" s="4">
        <f t="shared" si="1"/>
        <v>20</v>
      </c>
      <c r="E35" s="6">
        <f t="shared" si="2"/>
        <v>47638</v>
      </c>
      <c r="F35" s="6">
        <f t="shared" si="3"/>
        <v>47574</v>
      </c>
      <c r="G35" s="103">
        <v>0.4473623373901452</v>
      </c>
      <c r="H35" s="105">
        <v>452.7519571218202</v>
      </c>
      <c r="I35" s="16">
        <f t="shared" si="4"/>
        <v>0.03608946426000115</v>
      </c>
      <c r="J35" s="27">
        <f t="shared" si="5"/>
        <v>1756.449078072779</v>
      </c>
      <c r="K35" s="16">
        <f t="shared" si="6"/>
        <v>0.03922603664242352</v>
      </c>
      <c r="L35" s="16">
        <f t="shared" si="14"/>
        <v>0.03922603664242352</v>
      </c>
      <c r="M35" s="38">
        <v>0.004503525604441417</v>
      </c>
      <c r="N35" s="39">
        <v>-0.54765201415277</v>
      </c>
      <c r="O35" s="39">
        <v>0.3473347607667575</v>
      </c>
      <c r="P35" s="70">
        <f t="shared" si="7"/>
        <v>0.0040492757826502595</v>
      </c>
      <c r="Q35" s="70">
        <f t="shared" si="7"/>
        <v>0.006370336841942584</v>
      </c>
      <c r="R35" s="70">
        <f t="shared" si="8"/>
        <v>0.01996209842252909</v>
      </c>
      <c r="S35" s="70">
        <f t="shared" si="8"/>
        <v>0.015596373484366108</v>
      </c>
      <c r="T35" s="70">
        <f t="shared" si="8"/>
        <v>0.0031696757919140225</v>
      </c>
      <c r="U35" s="71">
        <f t="shared" si="15"/>
        <v>2.028903434237378</v>
      </c>
      <c r="V35" s="74">
        <f t="shared" si="9"/>
        <v>-8.156005855752824E-05</v>
      </c>
      <c r="W35" s="73">
        <f t="shared" si="16"/>
        <v>0.0401056366331598</v>
      </c>
      <c r="X35" s="71">
        <f t="shared" si="17"/>
        <v>1.6746727012166267</v>
      </c>
      <c r="Y35" s="74">
        <f t="shared" si="10"/>
        <v>-0.009973375593662182</v>
      </c>
      <c r="Z35" s="73">
        <f t="shared" si="18"/>
        <v>0.02767893894070772</v>
      </c>
      <c r="AA35" s="71">
        <f t="shared" si="19"/>
        <v>2.145423808913654</v>
      </c>
      <c r="AB35" s="74">
        <f t="shared" si="11"/>
        <v>0.002815101242300555</v>
      </c>
      <c r="AC35" s="73">
        <f t="shared" si="20"/>
        <v>0.043275312425073764</v>
      </c>
      <c r="AD35" s="46">
        <f t="shared" si="21"/>
        <v>1.5527821009277802</v>
      </c>
      <c r="AE35" s="98">
        <f t="shared" si="12"/>
        <v>-0.013843214858300756</v>
      </c>
      <c r="AF35" s="96">
        <f t="shared" si="22"/>
        <v>0.023313214002544713</v>
      </c>
      <c r="AG35" s="97">
        <f t="shared" si="23"/>
        <v>2.1866759778984375</v>
      </c>
      <c r="AH35" s="98">
        <f t="shared" si="13"/>
        <v>0.0038048931946337294</v>
      </c>
      <c r="AI35" s="17">
        <f t="shared" si="24"/>
        <v>0.04242669769245211</v>
      </c>
      <c r="AJ35" s="148">
        <f>10000*ABS(AK35-V35)+10000*ABS(AM35-AB35)+10000*ABS(AL35-Y35)</f>
        <v>0.04155374486281005</v>
      </c>
      <c r="AK35" s="161">
        <f>VLOOKUP($AP35,$BO$9:$BW$16,3)</f>
        <v>-8.185830511997505E-05</v>
      </c>
      <c r="AL35" s="162">
        <f>VLOOKUP($AP35,$BO$9:$BW$16,9)</f>
        <v>-0.00997539141280901</v>
      </c>
      <c r="AM35" s="162">
        <f>VLOOKUP($AP35,$BO$9:$BW$16,6)</f>
        <v>0.0028132599335235486</v>
      </c>
      <c r="AN35" s="157">
        <f>VLOOKUP($AP35,$BO$18:$BT$25,3)</f>
        <v>-0.013856356756096089</v>
      </c>
      <c r="AO35" s="157">
        <f>VLOOKUP($AP35,$BO$18:$BT$25,6)</f>
        <v>0.0036721620695017165</v>
      </c>
      <c r="AP35" s="2">
        <v>20</v>
      </c>
      <c r="AQ35" s="26"/>
      <c r="AW35" s="19"/>
    </row>
    <row r="36" spans="3:49" ht="12.75">
      <c r="C36" s="120">
        <f t="shared" si="0"/>
        <v>21</v>
      </c>
      <c r="D36" s="4">
        <f t="shared" si="1"/>
        <v>20.999315537303218</v>
      </c>
      <c r="E36" s="5">
        <f t="shared" si="2"/>
        <v>48003</v>
      </c>
      <c r="F36" s="5">
        <f t="shared" si="3"/>
        <v>47939</v>
      </c>
      <c r="G36" s="103">
        <v>0.4302491829880938</v>
      </c>
      <c r="H36" s="105">
        <v>470.4952216342884</v>
      </c>
      <c r="I36" s="17">
        <f t="shared" si="4"/>
        <v>0.03623688995000118</v>
      </c>
      <c r="J36" s="27">
        <f t="shared" si="5"/>
        <v>1843.0600767398591</v>
      </c>
      <c r="K36" s="17">
        <f t="shared" si="6"/>
        <v>0.039189812950259695</v>
      </c>
      <c r="L36" s="16">
        <f t="shared" si="14"/>
        <v>0.039189812950259695</v>
      </c>
      <c r="M36" s="40">
        <f>(M35*4+M40*1)/5</f>
        <v>0.004447092102577791</v>
      </c>
      <c r="N36" s="41">
        <f>(N35*4+N40*1)/5</f>
        <v>-0.5479897312015221</v>
      </c>
      <c r="O36" s="41">
        <f>(O35*4+O40*1)/5</f>
        <v>0.3450933421214608</v>
      </c>
      <c r="P36" s="70">
        <f aca="true" t="shared" si="25" ref="P36:Q55">BlackNormalp($K36,P$13,SABRNormalvolHagan(P$13,$K36,$O36,SABRatmvol_to_alpha($D36,1+$L36,$M36,0.0000001,$N36,$O36),$N36,$D36),$D36)</f>
        <v>0.00423455351206783</v>
      </c>
      <c r="Q36" s="70">
        <f t="shared" si="25"/>
        <v>0.00651024671222628</v>
      </c>
      <c r="R36" s="70">
        <f aca="true" t="shared" si="26" ref="R36:T55">BlackNormalc($K36,R$13,SABRNormalvolHagan(R$13,$K36,$O36,SABRatmvol_to_alpha($D36,1+$L36,$M36,0.0000001,$N36,$O36),$N36,$D36),$D36)</f>
        <v>0.020078837522133214</v>
      </c>
      <c r="S36" s="70">
        <f t="shared" si="26"/>
        <v>0.015700059662485975</v>
      </c>
      <c r="T36" s="70">
        <f t="shared" si="26"/>
        <v>0.0032336813711371874</v>
      </c>
      <c r="U36" s="71">
        <f t="shared" si="15"/>
        <v>2.1104464532432474</v>
      </c>
      <c r="V36" s="72">
        <f t="shared" si="9"/>
        <v>-3.0187641096190987E-05</v>
      </c>
      <c r="W36" s="73">
        <f t="shared" si="16"/>
        <v>0.04019068509119039</v>
      </c>
      <c r="X36" s="71">
        <f t="shared" si="17"/>
        <v>1.721101840974476</v>
      </c>
      <c r="Y36" s="72">
        <f t="shared" si="10"/>
        <v>-0.010044276564629584</v>
      </c>
      <c r="Z36" s="73">
        <f t="shared" si="18"/>
        <v>0.027724306799841614</v>
      </c>
      <c r="AA36" s="71">
        <f t="shared" si="19"/>
        <v>2.238587478608923</v>
      </c>
      <c r="AB36" s="72">
        <f t="shared" si="11"/>
        <v>0.0028824595412926257</v>
      </c>
      <c r="AC36" s="73">
        <f t="shared" si="20"/>
        <v>0.0434243664623275</v>
      </c>
      <c r="AD36" s="46">
        <f t="shared" si="21"/>
        <v>1.5890326204028054</v>
      </c>
      <c r="AE36" s="95">
        <f t="shared" si="12"/>
        <v>-0.013938320690258577</v>
      </c>
      <c r="AF36" s="96">
        <f t="shared" si="22"/>
        <v>0.02334552894019426</v>
      </c>
      <c r="AG36" s="97">
        <f t="shared" si="23"/>
        <v>2.2795361871764777</v>
      </c>
      <c r="AH36" s="95">
        <f t="shared" si="13"/>
        <v>0.0037798006673335216</v>
      </c>
      <c r="AI36" s="17">
        <f t="shared" si="24"/>
        <v>0.042466378291348805</v>
      </c>
      <c r="AJ36" s="148"/>
      <c r="AK36" s="114"/>
      <c r="AL36" s="26"/>
      <c r="AM36" s="26"/>
      <c r="AN36" s="158"/>
      <c r="AO36" s="158"/>
      <c r="AP36" s="2">
        <v>21</v>
      </c>
      <c r="AQ36" s="26"/>
      <c r="AW36" s="19"/>
    </row>
    <row r="37" spans="3:43" ht="12.75">
      <c r="C37" s="120">
        <f t="shared" si="0"/>
        <v>22</v>
      </c>
      <c r="D37" s="4">
        <f t="shared" si="1"/>
        <v>22.001368925393567</v>
      </c>
      <c r="E37" s="5">
        <f t="shared" si="2"/>
        <v>48369</v>
      </c>
      <c r="F37" s="5">
        <f t="shared" si="3"/>
        <v>48305</v>
      </c>
      <c r="G37" s="103">
        <v>0.41385582253416464</v>
      </c>
      <c r="H37" s="105">
        <v>488.72609164930464</v>
      </c>
      <c r="I37" s="17">
        <f t="shared" si="4"/>
        <v>0.03635091119000089</v>
      </c>
      <c r="J37" s="27">
        <f t="shared" si="5"/>
        <v>1929.1026169577758</v>
      </c>
      <c r="K37" s="17">
        <f t="shared" si="6"/>
        <v>0.03874825753105515</v>
      </c>
      <c r="L37" s="16">
        <f t="shared" si="14"/>
        <v>0.03874825753105515</v>
      </c>
      <c r="M37" s="40">
        <f>(M35*3+M40*2)/5</f>
        <v>0.004390658600714165</v>
      </c>
      <c r="N37" s="41">
        <f>(N35*3+N40*2)/5</f>
        <v>-0.548327448250274</v>
      </c>
      <c r="O37" s="41">
        <f>(O35*3+O40*2)/5</f>
        <v>0.3428519234761641</v>
      </c>
      <c r="P37" s="70">
        <f t="shared" si="25"/>
        <v>0.0044258779412240075</v>
      </c>
      <c r="Q37" s="70">
        <f t="shared" si="25"/>
        <v>0.006694986132353535</v>
      </c>
      <c r="R37" s="70">
        <f t="shared" si="26"/>
        <v>0.019819987079997717</v>
      </c>
      <c r="S37" s="70">
        <f t="shared" si="26"/>
        <v>0.01544324366340869</v>
      </c>
      <c r="T37" s="70">
        <f t="shared" si="26"/>
        <v>0.0031859973049694935</v>
      </c>
      <c r="U37" s="71">
        <f t="shared" si="15"/>
        <v>2.194839277610247</v>
      </c>
      <c r="V37" s="72">
        <f t="shared" si="9"/>
        <v>2.737590499224396E-05</v>
      </c>
      <c r="W37" s="73">
        <f t="shared" si="16"/>
        <v>0.03998813816730973</v>
      </c>
      <c r="X37" s="71">
        <f t="shared" si="17"/>
        <v>1.7688295299185872</v>
      </c>
      <c r="Y37" s="72">
        <f t="shared" si="10"/>
        <v>-0.010088426034057685</v>
      </c>
      <c r="Z37" s="73">
        <f t="shared" si="18"/>
        <v>0.02773089180887056</v>
      </c>
      <c r="AA37" s="71">
        <f t="shared" si="19"/>
        <v>2.3352365576769327</v>
      </c>
      <c r="AB37" s="72">
        <f t="shared" si="11"/>
        <v>0.0029524043720903226</v>
      </c>
      <c r="AC37" s="73">
        <f t="shared" si="20"/>
        <v>0.04317413547227922</v>
      </c>
      <c r="AD37" s="46">
        <f t="shared" si="21"/>
        <v>1.6261431240198683</v>
      </c>
      <c r="AE37" s="95">
        <f t="shared" si="12"/>
        <v>-0.014004384690163185</v>
      </c>
      <c r="AF37" s="96">
        <f t="shared" si="22"/>
        <v>0.02335414839228145</v>
      </c>
      <c r="AG37" s="97">
        <f t="shared" si="23"/>
        <v>2.3758631094209712</v>
      </c>
      <c r="AH37" s="95">
        <f t="shared" si="13"/>
        <v>0.0037675183003527124</v>
      </c>
      <c r="AI37" s="17">
        <f>AG37/AG36-1</f>
        <v>0.04225724635843919</v>
      </c>
      <c r="AJ37" s="148"/>
      <c r="AK37" s="116"/>
      <c r="AL37" s="117"/>
      <c r="AM37" s="117"/>
      <c r="AN37" s="159"/>
      <c r="AO37" s="159"/>
      <c r="AP37" s="2">
        <v>22</v>
      </c>
      <c r="AQ37" s="26"/>
    </row>
    <row r="38" spans="3:43" ht="12.75">
      <c r="C38" s="120">
        <f t="shared" si="0"/>
        <v>23</v>
      </c>
      <c r="D38" s="4">
        <f t="shared" si="1"/>
        <v>23.000684462696782</v>
      </c>
      <c r="E38" s="5">
        <f t="shared" si="2"/>
        <v>48734</v>
      </c>
      <c r="F38" s="5">
        <f t="shared" si="3"/>
        <v>48670</v>
      </c>
      <c r="G38" s="103">
        <v>0.3982633188126037</v>
      </c>
      <c r="H38" s="105">
        <v>507.36759980605893</v>
      </c>
      <c r="I38" s="17">
        <f t="shared" si="4"/>
        <v>0.03642876629000069</v>
      </c>
      <c r="J38" s="27">
        <f t="shared" si="5"/>
        <v>2014.7781344798584</v>
      </c>
      <c r="K38" s="17">
        <f t="shared" si="6"/>
        <v>0.038143059016646275</v>
      </c>
      <c r="L38" s="16">
        <f t="shared" si="14"/>
        <v>0.038143059016646275</v>
      </c>
      <c r="M38" s="40">
        <f>(M35*2+M40*3)/5</f>
        <v>0.004334225098850539</v>
      </c>
      <c r="N38" s="41">
        <f>(N35*2+N40*3)/5</f>
        <v>-0.548665165299026</v>
      </c>
      <c r="O38" s="41">
        <f>(O35*2+O40*3)/5</f>
        <v>0.3406105048308674</v>
      </c>
      <c r="P38" s="70">
        <f t="shared" si="25"/>
        <v>0.0046122985596487925</v>
      </c>
      <c r="Q38" s="70">
        <f t="shared" si="25"/>
        <v>0.0068906707742913634</v>
      </c>
      <c r="R38" s="70">
        <f t="shared" si="26"/>
        <v>0.019401597401162984</v>
      </c>
      <c r="S38" s="70">
        <f t="shared" si="26"/>
        <v>0.01503372979093764</v>
      </c>
      <c r="T38" s="70">
        <f t="shared" si="26"/>
        <v>0.00309938431905155</v>
      </c>
      <c r="U38" s="71">
        <f t="shared" si="15"/>
        <v>2.2818777653071067</v>
      </c>
      <c r="V38" s="72">
        <f t="shared" si="9"/>
        <v>9.181378987510591E-05</v>
      </c>
      <c r="W38" s="73">
        <f t="shared" si="16"/>
        <v>0.03965597325724346</v>
      </c>
      <c r="X38" s="71">
        <f t="shared" si="17"/>
        <v>1.8178643637627394</v>
      </c>
      <c r="Y38" s="72">
        <f t="shared" si="10"/>
        <v>-0.010102883249605288</v>
      </c>
      <c r="Z38" s="73">
        <f t="shared" si="18"/>
        <v>0.027721627785357583</v>
      </c>
      <c r="AA38" s="71">
        <f t="shared" si="19"/>
        <v>2.4350804317256465</v>
      </c>
      <c r="AB38" s="72">
        <f t="shared" si="11"/>
        <v>0.003024400148235795</v>
      </c>
      <c r="AC38" s="73">
        <f t="shared" si="20"/>
        <v>0.04275535757629512</v>
      </c>
      <c r="AD38" s="46">
        <f t="shared" si="21"/>
        <v>1.6641196805486684</v>
      </c>
      <c r="AE38" s="95">
        <f t="shared" si="12"/>
        <v>-0.014038467643180397</v>
      </c>
      <c r="AF38" s="96">
        <f t="shared" si="22"/>
        <v>0.023353760175132132</v>
      </c>
      <c r="AG38" s="97">
        <f t="shared" si="23"/>
        <v>2.4754933738453393</v>
      </c>
      <c r="AH38" s="95">
        <f t="shared" si="13"/>
        <v>0.003768550219751088</v>
      </c>
      <c r="AI38" s="17">
        <f t="shared" si="24"/>
        <v>0.0419343454718859</v>
      </c>
      <c r="AJ38" s="148"/>
      <c r="AK38" s="116"/>
      <c r="AL38" s="117"/>
      <c r="AM38" s="117"/>
      <c r="AN38" s="159"/>
      <c r="AO38" s="159"/>
      <c r="AP38" s="2">
        <v>23</v>
      </c>
      <c r="AQ38" s="26"/>
    </row>
    <row r="39" spans="3:43" ht="15" customHeight="1">
      <c r="C39" s="120">
        <f t="shared" si="0"/>
        <v>24</v>
      </c>
      <c r="D39" s="4">
        <f t="shared" si="1"/>
        <v>24</v>
      </c>
      <c r="E39" s="5">
        <f t="shared" si="2"/>
        <v>49099</v>
      </c>
      <c r="F39" s="5">
        <f t="shared" si="3"/>
        <v>49035</v>
      </c>
      <c r="G39" s="103">
        <v>0.38341734016357176</v>
      </c>
      <c r="H39" s="105">
        <v>526.4820422785625</v>
      </c>
      <c r="I39" s="17">
        <f t="shared" si="4"/>
        <v>0.03648061097000066</v>
      </c>
      <c r="J39" s="27">
        <f t="shared" si="5"/>
        <v>2100.2554441602706</v>
      </c>
      <c r="K39" s="17">
        <f t="shared" si="6"/>
        <v>0.03767375465010003</v>
      </c>
      <c r="L39" s="16">
        <f t="shared" si="14"/>
        <v>0.03767375465010003</v>
      </c>
      <c r="M39" s="40">
        <f>(M35*1+M40*4)/5</f>
        <v>0.004277791596986913</v>
      </c>
      <c r="N39" s="41">
        <f>(N35*1+N40*4)/5</f>
        <v>-0.5490028823477779</v>
      </c>
      <c r="O39" s="41">
        <f>(O35*1+O40*4)/5</f>
        <v>0.3383690861855707</v>
      </c>
      <c r="P39" s="70">
        <f t="shared" si="25"/>
        <v>0.004783717652119701</v>
      </c>
      <c r="Q39" s="70">
        <f t="shared" si="25"/>
        <v>0.007056884270587641</v>
      </c>
      <c r="R39" s="70">
        <f t="shared" si="26"/>
        <v>0.01909431626956314</v>
      </c>
      <c r="S39" s="70">
        <f t="shared" si="26"/>
        <v>0.014730638920687674</v>
      </c>
      <c r="T39" s="70">
        <f t="shared" si="26"/>
        <v>0.0030479919067375404</v>
      </c>
      <c r="U39" s="71">
        <f t="shared" si="15"/>
        <v>2.3718053823638643</v>
      </c>
      <c r="V39" s="72">
        <f t="shared" si="9"/>
        <v>0.00016017949394964148</v>
      </c>
      <c r="W39" s="73">
        <f t="shared" si="16"/>
        <v>0.03940948039548231</v>
      </c>
      <c r="X39" s="71">
        <f t="shared" si="17"/>
        <v>1.8682679860870137</v>
      </c>
      <c r="Y39" s="72">
        <f t="shared" si="10"/>
        <v>-0.01009639314470645</v>
      </c>
      <c r="Z39" s="73">
        <f t="shared" si="18"/>
        <v>0.027726833381532145</v>
      </c>
      <c r="AA39" s="71">
        <f t="shared" si="19"/>
        <v>2.5384677917093152</v>
      </c>
      <c r="AB39" s="72">
        <f t="shared" si="11"/>
        <v>0.003097561841703511</v>
      </c>
      <c r="AC39" s="73">
        <f t="shared" si="20"/>
        <v>0.042457472302219745</v>
      </c>
      <c r="AD39" s="46">
        <f t="shared" si="21"/>
        <v>1.7029987683023415</v>
      </c>
      <c r="AE39" s="95">
        <f t="shared" si="12"/>
        <v>-0.014049795069639881</v>
      </c>
      <c r="AF39" s="96">
        <f t="shared" si="22"/>
        <v>0.023363156032656596</v>
      </c>
      <c r="AG39" s="97">
        <f t="shared" si="23"/>
        <v>2.5786784903327074</v>
      </c>
      <c r="AH39" s="95">
        <f t="shared" si="13"/>
        <v>0.0037785520048290167</v>
      </c>
      <c r="AI39" s="17">
        <f t="shared" si="24"/>
        <v>0.04168264701395019</v>
      </c>
      <c r="AJ39" s="148"/>
      <c r="AK39" s="116"/>
      <c r="AL39" s="117"/>
      <c r="AM39" s="117"/>
      <c r="AN39" s="159"/>
      <c r="AO39" s="159"/>
      <c r="AP39" s="2">
        <v>24</v>
      </c>
      <c r="AQ39" s="26"/>
    </row>
    <row r="40" spans="3:43" ht="12.75">
      <c r="C40" s="120">
        <f t="shared" si="0"/>
        <v>25</v>
      </c>
      <c r="D40" s="4">
        <f t="shared" si="1"/>
        <v>24.999315537303218</v>
      </c>
      <c r="E40" s="6">
        <f t="shared" si="2"/>
        <v>49464</v>
      </c>
      <c r="F40" s="6">
        <f t="shared" si="3"/>
        <v>49400</v>
      </c>
      <c r="G40" s="103">
        <v>0.36930938758140336</v>
      </c>
      <c r="H40" s="105">
        <v>546.0967557770435</v>
      </c>
      <c r="I40" s="16">
        <f t="shared" si="4"/>
        <v>0.03651162288000065</v>
      </c>
      <c r="J40" s="27">
        <f t="shared" si="5"/>
        <v>2185.815321675926</v>
      </c>
      <c r="K40" s="16">
        <f t="shared" si="6"/>
        <v>0.03725618715044954</v>
      </c>
      <c r="L40" s="16">
        <f t="shared" si="14"/>
        <v>0.03725618715044954</v>
      </c>
      <c r="M40" s="38">
        <v>0.0042213580951232866</v>
      </c>
      <c r="N40" s="39">
        <v>-0.5493405993965299</v>
      </c>
      <c r="O40" s="39">
        <v>0.336127667540274</v>
      </c>
      <c r="P40" s="70">
        <f t="shared" si="25"/>
        <v>0.004943317812439991</v>
      </c>
      <c r="Q40" s="70">
        <f t="shared" si="25"/>
        <v>0.00720556725515986</v>
      </c>
      <c r="R40" s="70">
        <f t="shared" si="26"/>
        <v>0.018822790158284062</v>
      </c>
      <c r="S40" s="70">
        <f t="shared" si="26"/>
        <v>0.014461754405609399</v>
      </c>
      <c r="T40" s="70">
        <f t="shared" si="26"/>
        <v>0.003008582476030681</v>
      </c>
      <c r="U40" s="71">
        <f t="shared" si="15"/>
        <v>2.4647586232580014</v>
      </c>
      <c r="V40" s="74">
        <f t="shared" si="9"/>
        <v>0.00023105261046563186</v>
      </c>
      <c r="W40" s="73">
        <f t="shared" si="16"/>
        <v>0.03919092248685896</v>
      </c>
      <c r="X40" s="71">
        <f t="shared" si="17"/>
        <v>1.9200895374592475</v>
      </c>
      <c r="Y40" s="74">
        <f t="shared" si="10"/>
        <v>-0.010073297987087226</v>
      </c>
      <c r="Z40" s="73">
        <f t="shared" si="18"/>
        <v>0.027737750557280227</v>
      </c>
      <c r="AA40" s="71">
        <f t="shared" si="19"/>
        <v>2.645589875883688</v>
      </c>
      <c r="AB40" s="74">
        <f t="shared" si="11"/>
        <v>0.003171276518667998</v>
      </c>
      <c r="AC40" s="73">
        <f t="shared" si="20"/>
        <v>0.0421995049628896</v>
      </c>
      <c r="AD40" s="46">
        <f t="shared" si="21"/>
        <v>1.74280928482154</v>
      </c>
      <c r="AE40" s="98">
        <f t="shared" si="12"/>
        <v>-0.01404298781515756</v>
      </c>
      <c r="AF40" s="96">
        <f t="shared" si="22"/>
        <v>0.02337671480460557</v>
      </c>
      <c r="AG40" s="97">
        <f t="shared" si="23"/>
        <v>2.6855728931435756</v>
      </c>
      <c r="AH40" s="98">
        <f t="shared" si="13"/>
        <v>0.0037952741594629025</v>
      </c>
      <c r="AI40" s="17">
        <f t="shared" si="24"/>
        <v>0.04145317192957876</v>
      </c>
      <c r="AJ40" s="148">
        <f>10000*ABS(AK40-V40)+10000*ABS(AM40-AB40)+10000*ABS(AL40-Y40)</f>
        <v>0.06289918034553603</v>
      </c>
      <c r="AK40" s="161">
        <f>VLOOKUP($AP40,$BO$9:$BW$16,3)</f>
        <v>0.00023182320043675374</v>
      </c>
      <c r="AL40" s="162">
        <f>VLOOKUP($AP40,$BO$9:$BW$16,9)</f>
        <v>-0.010069829322111222</v>
      </c>
      <c r="AM40" s="162">
        <f>VLOOKUP($AP40,$BO$9:$BW$16,6)</f>
        <v>0.0031733271817554255</v>
      </c>
      <c r="AN40" s="157">
        <f>VLOOKUP($AP40,$BO$18:$BT$25,3)</f>
        <v>-0.014050283617039572</v>
      </c>
      <c r="AO40" s="157">
        <f>VLOOKUP($AP40,$BO$18:$BT$25,6)</f>
        <v>0.003665117697566922</v>
      </c>
      <c r="AP40" s="2">
        <v>25</v>
      </c>
      <c r="AQ40" s="26"/>
    </row>
    <row r="41" spans="3:43" ht="12.75">
      <c r="C41" s="120">
        <f t="shared" si="0"/>
        <v>26</v>
      </c>
      <c r="D41" s="4">
        <f t="shared" si="1"/>
        <v>26.001368925393567</v>
      </c>
      <c r="E41" s="5">
        <f t="shared" si="2"/>
        <v>49830</v>
      </c>
      <c r="F41" s="5">
        <f t="shared" si="3"/>
        <v>49766</v>
      </c>
      <c r="G41" s="103">
        <v>0.3558853923113399</v>
      </c>
      <c r="H41" s="105">
        <v>566.1595647425664</v>
      </c>
      <c r="I41" s="17">
        <f t="shared" si="4"/>
        <v>0.036520350350000674</v>
      </c>
      <c r="J41" s="27">
        <f t="shared" si="5"/>
        <v>2271.188437945653</v>
      </c>
      <c r="K41" s="17">
        <f t="shared" si="6"/>
        <v>0.03673856098444572</v>
      </c>
      <c r="L41" s="16">
        <f t="shared" si="14"/>
        <v>0.03673856098444572</v>
      </c>
      <c r="M41" s="40">
        <f>(M40*4+M45*1)/5</f>
        <v>0.004174738066454794</v>
      </c>
      <c r="N41" s="41">
        <f>(N40*4+N45*1)/5</f>
        <v>-0.549014579974411</v>
      </c>
      <c r="O41" s="41">
        <f>(O40*4+O45*1)/5</f>
        <v>0.32897369293632883</v>
      </c>
      <c r="P41" s="70">
        <f t="shared" si="25"/>
        <v>0.005003490919853866</v>
      </c>
      <c r="Q41" s="70">
        <f t="shared" si="25"/>
        <v>0.007348970467999643</v>
      </c>
      <c r="R41" s="70">
        <f t="shared" si="26"/>
        <v>0.01841948492712468</v>
      </c>
      <c r="S41" s="70">
        <f t="shared" si="26"/>
        <v>0.014087531452445366</v>
      </c>
      <c r="T41" s="70">
        <f t="shared" si="26"/>
        <v>0.0029513980774467452</v>
      </c>
      <c r="U41" s="71">
        <f t="shared" si="15"/>
        <v>2.5603682217795534</v>
      </c>
      <c r="V41" s="72">
        <f t="shared" si="9"/>
        <v>0.0003010188273582237</v>
      </c>
      <c r="W41" s="73">
        <f t="shared" si="16"/>
        <v>0.03879065382685298</v>
      </c>
      <c r="X41" s="71">
        <f t="shared" si="17"/>
        <v>1.9731886928423057</v>
      </c>
      <c r="Y41" s="72">
        <f t="shared" si="10"/>
        <v>-0.010035275330517734</v>
      </c>
      <c r="Z41" s="73">
        <f t="shared" si="18"/>
        <v>0.027654520451854347</v>
      </c>
      <c r="AA41" s="71">
        <f t="shared" si="19"/>
        <v>2.7560222258003146</v>
      </c>
      <c r="AB41" s="72">
        <f t="shared" si="11"/>
        <v>0.0032416719076517886</v>
      </c>
      <c r="AC41" s="73">
        <f t="shared" si="20"/>
        <v>0.04174205190429969</v>
      </c>
      <c r="AD41" s="46">
        <f t="shared" si="21"/>
        <v>1.783456071095233</v>
      </c>
      <c r="AE41" s="95">
        <f t="shared" si="12"/>
        <v>-0.014018884930290243</v>
      </c>
      <c r="AF41" s="96">
        <f t="shared" si="22"/>
        <v>0.023322566977175052</v>
      </c>
      <c r="AG41" s="97">
        <f t="shared" si="23"/>
        <v>2.796046977864211</v>
      </c>
      <c r="AH41" s="95">
        <f t="shared" si="13"/>
        <v>0.0038184281785860197</v>
      </c>
      <c r="AI41" s="17">
        <f t="shared" si="24"/>
        <v>0.04113613337499866</v>
      </c>
      <c r="AJ41" s="148"/>
      <c r="AK41" s="114"/>
      <c r="AL41" s="26"/>
      <c r="AM41" s="26"/>
      <c r="AN41" s="158"/>
      <c r="AO41" s="158"/>
      <c r="AP41" s="2">
        <v>26</v>
      </c>
      <c r="AQ41" s="26"/>
    </row>
    <row r="42" spans="3:43" ht="15" customHeight="1">
      <c r="C42" s="120">
        <f t="shared" si="0"/>
        <v>27</v>
      </c>
      <c r="D42" s="4">
        <f t="shared" si="1"/>
        <v>27.000684462696782</v>
      </c>
      <c r="E42" s="5">
        <f t="shared" si="2"/>
        <v>50195</v>
      </c>
      <c r="F42" s="5">
        <f t="shared" si="3"/>
        <v>50131</v>
      </c>
      <c r="G42" s="103">
        <v>0.3431609073172165</v>
      </c>
      <c r="H42" s="105">
        <v>586.8958628877499</v>
      </c>
      <c r="I42" s="17">
        <f t="shared" si="4"/>
        <v>0.036524272130000535</v>
      </c>
      <c r="J42" s="27">
        <f t="shared" si="5"/>
        <v>2357.614216486686</v>
      </c>
      <c r="K42" s="17">
        <f t="shared" si="6"/>
        <v>0.036626243618461674</v>
      </c>
      <c r="L42" s="16">
        <f t="shared" si="14"/>
        <v>0.036626243618461674</v>
      </c>
      <c r="M42" s="40">
        <f>(M40*3+M45*2)/5</f>
        <v>0.0041281180377863</v>
      </c>
      <c r="N42" s="41">
        <f>(N40*3+N45*2)/5</f>
        <v>-0.5486885605522923</v>
      </c>
      <c r="O42" s="41">
        <f>(O40*3+O45*2)/5</f>
        <v>0.3218197183323836</v>
      </c>
      <c r="P42" s="70">
        <f t="shared" si="25"/>
        <v>0.005034807075517837</v>
      </c>
      <c r="Q42" s="70">
        <f t="shared" si="25"/>
        <v>0.007424065366960378</v>
      </c>
      <c r="R42" s="70">
        <f t="shared" si="26"/>
        <v>0.018369577319951227</v>
      </c>
      <c r="S42" s="70">
        <f t="shared" si="26"/>
        <v>0.014050308985422052</v>
      </c>
      <c r="T42" s="70">
        <f t="shared" si="26"/>
        <v>0.0029698398886143914</v>
      </c>
      <c r="U42" s="71">
        <f t="shared" si="15"/>
        <v>2.6594319683877834</v>
      </c>
      <c r="V42" s="72">
        <f t="shared" si="9"/>
        <v>0.0003662903776540105</v>
      </c>
      <c r="W42" s="73">
        <f t="shared" si="16"/>
        <v>0.03869121080536497</v>
      </c>
      <c r="X42" s="71">
        <f t="shared" si="17"/>
        <v>2.0276698961826205</v>
      </c>
      <c r="Y42" s="72">
        <f t="shared" si="10"/>
        <v>-0.009997527749061819</v>
      </c>
      <c r="Z42" s="73">
        <f t="shared" si="18"/>
        <v>0.027610741708557374</v>
      </c>
      <c r="AA42" s="71">
        <f t="shared" si="19"/>
        <v>2.8708410074631154</v>
      </c>
      <c r="AB42" s="72">
        <f t="shared" si="11"/>
        <v>0.0033080227372708215</v>
      </c>
      <c r="AC42" s="73">
        <f t="shared" si="20"/>
        <v>0.04166105069397941</v>
      </c>
      <c r="AD42" s="46">
        <f t="shared" si="21"/>
        <v>1.8249953906888965</v>
      </c>
      <c r="AE42" s="95">
        <f t="shared" si="12"/>
        <v>-0.013993558035585663</v>
      </c>
      <c r="AF42" s="96">
        <f t="shared" si="22"/>
        <v>0.02329147337402815</v>
      </c>
      <c r="AG42" s="97">
        <f t="shared" si="23"/>
        <v>2.910909899331584</v>
      </c>
      <c r="AH42" s="95">
        <f t="shared" si="13"/>
        <v>0.003841966994573731</v>
      </c>
      <c r="AI42" s="17">
        <f t="shared" si="24"/>
        <v>0.041080469096807626</v>
      </c>
      <c r="AJ42" s="148"/>
      <c r="AK42" s="116"/>
      <c r="AL42" s="117"/>
      <c r="AM42" s="117"/>
      <c r="AN42" s="159"/>
      <c r="AO42" s="159"/>
      <c r="AP42" s="2">
        <v>27</v>
      </c>
      <c r="AQ42" s="26"/>
    </row>
    <row r="43" spans="3:43" ht="12.75">
      <c r="C43" s="120">
        <f t="shared" si="0"/>
        <v>28</v>
      </c>
      <c r="D43" s="4">
        <f t="shared" si="1"/>
        <v>28</v>
      </c>
      <c r="E43" s="5">
        <f t="shared" si="2"/>
        <v>50560</v>
      </c>
      <c r="F43" s="5">
        <f t="shared" si="3"/>
        <v>50496</v>
      </c>
      <c r="G43" s="103">
        <v>0.3310308087762483</v>
      </c>
      <c r="H43" s="105">
        <v>608.3937919546072</v>
      </c>
      <c r="I43" s="17">
        <f t="shared" si="4"/>
        <v>0.03652804390000042</v>
      </c>
      <c r="J43" s="27">
        <f t="shared" si="5"/>
        <v>2445.0104389150824</v>
      </c>
      <c r="K43" s="17">
        <f t="shared" si="6"/>
        <v>0.03662988687819224</v>
      </c>
      <c r="L43" s="16">
        <f t="shared" si="14"/>
        <v>0.03662988687819224</v>
      </c>
      <c r="M43" s="40">
        <f>(M40*2+M45*3)/5</f>
        <v>0.004081498009117808</v>
      </c>
      <c r="N43" s="41">
        <f>(N40*2+N45*3)/5</f>
        <v>-0.5483625411301736</v>
      </c>
      <c r="O43" s="41">
        <f>(O40*2+O45*3)/5</f>
        <v>0.31466574372843836</v>
      </c>
      <c r="P43" s="70">
        <f t="shared" si="25"/>
        <v>0.00504846074032394</v>
      </c>
      <c r="Q43" s="70">
        <f t="shared" si="25"/>
        <v>0.0074729003766575396</v>
      </c>
      <c r="R43" s="70">
        <f t="shared" si="26"/>
        <v>0.018413468927313166</v>
      </c>
      <c r="S43" s="70">
        <f t="shared" si="26"/>
        <v>0.014102787254849782</v>
      </c>
      <c r="T43" s="70">
        <f t="shared" si="26"/>
        <v>0.003005979969325995</v>
      </c>
      <c r="U43" s="71">
        <f t="shared" si="15"/>
        <v>2.7622784992072846</v>
      </c>
      <c r="V43" s="72">
        <f t="shared" si="9"/>
        <v>0.00042610184119529215</v>
      </c>
      <c r="W43" s="73">
        <f t="shared" si="16"/>
        <v>0.03867236764919002</v>
      </c>
      <c r="X43" s="71">
        <f t="shared" si="17"/>
        <v>2.083584029802393</v>
      </c>
      <c r="Y43" s="72">
        <f t="shared" si="10"/>
        <v>-0.009963860245167933</v>
      </c>
      <c r="Z43" s="73">
        <f t="shared" si="18"/>
        <v>0.027575560363666263</v>
      </c>
      <c r="AA43" s="71">
        <f t="shared" si="19"/>
        <v>2.990492916929654</v>
      </c>
      <c r="AB43" s="72">
        <f t="shared" si="11"/>
        <v>0.003370125053954842</v>
      </c>
      <c r="AC43" s="73">
        <f t="shared" si="20"/>
        <v>0.041678347618516076</v>
      </c>
      <c r="AD43" s="46">
        <f t="shared" si="21"/>
        <v>1.867453687065278</v>
      </c>
      <c r="AE43" s="95">
        <f t="shared" si="12"/>
        <v>-0.013971118713854702</v>
      </c>
      <c r="AF43" s="96">
        <f t="shared" si="22"/>
        <v>0.02326487869120286</v>
      </c>
      <c r="AG43" s="97">
        <f t="shared" si="23"/>
        <v>3.0305390024899377</v>
      </c>
      <c r="AH43" s="95">
        <f t="shared" si="13"/>
        <v>0.0038642781147579797</v>
      </c>
      <c r="AI43" s="17">
        <f t="shared" si="24"/>
        <v>0.041096807285523784</v>
      </c>
      <c r="AJ43" s="148"/>
      <c r="AK43" s="116"/>
      <c r="AL43" s="117"/>
      <c r="AM43" s="117"/>
      <c r="AN43" s="159"/>
      <c r="AO43" s="159"/>
      <c r="AP43" s="2">
        <v>28</v>
      </c>
      <c r="AQ43" s="26"/>
    </row>
    <row r="44" spans="3:43" ht="12.75">
      <c r="C44" s="120">
        <f t="shared" si="0"/>
        <v>29</v>
      </c>
      <c r="D44" s="4">
        <f t="shared" si="1"/>
        <v>28.999315537303218</v>
      </c>
      <c r="E44" s="5">
        <f t="shared" si="2"/>
        <v>50925</v>
      </c>
      <c r="F44" s="5">
        <f t="shared" si="3"/>
        <v>50861</v>
      </c>
      <c r="G44" s="103">
        <v>0.31942761881985055</v>
      </c>
      <c r="H44" s="105">
        <v>630.5657465072843</v>
      </c>
      <c r="I44" s="17">
        <f t="shared" si="4"/>
        <v>0.03652512595000035</v>
      </c>
      <c r="J44" s="27">
        <f t="shared" si="5"/>
        <v>2532.7511253119997</v>
      </c>
      <c r="K44" s="17">
        <f t="shared" si="6"/>
        <v>0.03644342668495115</v>
      </c>
      <c r="L44" s="16">
        <f t="shared" si="14"/>
        <v>0.03644342668495115</v>
      </c>
      <c r="M44" s="40">
        <f>(M40*1+M45*4)/5</f>
        <v>0.004034877980449315</v>
      </c>
      <c r="N44" s="41">
        <f>(N40*1+N45*4)/5</f>
        <v>-0.5480365217080548</v>
      </c>
      <c r="O44" s="41">
        <f>(O40*1+O45*4)/5</f>
        <v>0.3075117691244932</v>
      </c>
      <c r="P44" s="70">
        <f t="shared" si="25"/>
        <v>0.005056361798074446</v>
      </c>
      <c r="Q44" s="70">
        <f t="shared" si="25"/>
        <v>0.007543551912673566</v>
      </c>
      <c r="R44" s="70">
        <f t="shared" si="26"/>
        <v>0.018278816315059804</v>
      </c>
      <c r="S44" s="70">
        <f t="shared" si="26"/>
        <v>0.01398697859762472</v>
      </c>
      <c r="T44" s="70">
        <f t="shared" si="26"/>
        <v>0.0029991685937846946</v>
      </c>
      <c r="U44" s="71">
        <f t="shared" si="15"/>
        <v>2.868627933733487</v>
      </c>
      <c r="V44" s="72">
        <f t="shared" si="9"/>
        <v>0.00048230812991856276</v>
      </c>
      <c r="W44" s="73">
        <f t="shared" si="16"/>
        <v>0.038500619889240806</v>
      </c>
      <c r="X44" s="71">
        <f t="shared" si="17"/>
        <v>2.1409092810946033</v>
      </c>
      <c r="Y44" s="72">
        <f t="shared" si="10"/>
        <v>-0.009928245629727162</v>
      </c>
      <c r="Z44" s="73">
        <f t="shared" si="18"/>
        <v>0.027512809885400724</v>
      </c>
      <c r="AA44" s="71">
        <f t="shared" si="19"/>
        <v>3.1145977404422207</v>
      </c>
      <c r="AB44" s="72">
        <f t="shared" si="11"/>
        <v>0.0034282302410917342</v>
      </c>
      <c r="AC44" s="73">
        <f t="shared" si="20"/>
        <v>0.04149978848302549</v>
      </c>
      <c r="AD44" s="46">
        <f t="shared" si="21"/>
        <v>1.9108177771575858</v>
      </c>
      <c r="AE44" s="95">
        <f t="shared" si="12"/>
        <v>-0.013945309767654734</v>
      </c>
      <c r="AF44" s="96">
        <f t="shared" si="22"/>
        <v>0.023220972167965703</v>
      </c>
      <c r="AG44" s="97">
        <f t="shared" si="23"/>
        <v>3.1547541593332222</v>
      </c>
      <c r="AH44" s="95">
        <f t="shared" si="13"/>
        <v>0.003887724461583808</v>
      </c>
      <c r="AI44" s="17">
        <f t="shared" si="24"/>
        <v>0.04098781000384011</v>
      </c>
      <c r="AJ44" s="148"/>
      <c r="AK44" s="116"/>
      <c r="AL44" s="117"/>
      <c r="AM44" s="117"/>
      <c r="AN44" s="159"/>
      <c r="AO44" s="159"/>
      <c r="AP44" s="2">
        <v>29</v>
      </c>
      <c r="AQ44" s="26"/>
    </row>
    <row r="45" spans="3:43" ht="12.75">
      <c r="C45" s="145">
        <f t="shared" si="0"/>
        <v>30</v>
      </c>
      <c r="D45" s="14">
        <f t="shared" si="1"/>
        <v>30.001368925393567</v>
      </c>
      <c r="E45" s="15">
        <f t="shared" si="2"/>
        <v>51291</v>
      </c>
      <c r="F45" s="15">
        <f t="shared" si="3"/>
        <v>51227</v>
      </c>
      <c r="G45" s="103">
        <v>0.3082538979365119</v>
      </c>
      <c r="H45" s="106">
        <v>653.3158320068538</v>
      </c>
      <c r="I45" s="18">
        <f t="shared" si="4"/>
        <v>0.036510246910000266</v>
      </c>
      <c r="J45" s="27">
        <f t="shared" si="5"/>
        <v>2619.822668136312</v>
      </c>
      <c r="K45" s="18">
        <f t="shared" si="6"/>
        <v>0.03607884764686742</v>
      </c>
      <c r="L45" s="16">
        <f t="shared" si="14"/>
        <v>0.03607884764686742</v>
      </c>
      <c r="M45" s="38">
        <v>0.003988257951780822</v>
      </c>
      <c r="N45" s="39">
        <v>-0.547710502285936</v>
      </c>
      <c r="O45" s="39">
        <v>0.30035779452054795</v>
      </c>
      <c r="P45" s="70">
        <f t="shared" si="25"/>
        <v>0.005059749574235863</v>
      </c>
      <c r="Q45" s="70">
        <f t="shared" si="25"/>
        <v>0.0076374957694761774</v>
      </c>
      <c r="R45" s="70">
        <f t="shared" si="26"/>
        <v>0.017979002783721998</v>
      </c>
      <c r="S45" s="70">
        <f t="shared" si="26"/>
        <v>0.013716343416343596</v>
      </c>
      <c r="T45" s="70">
        <f t="shared" si="26"/>
        <v>0.0029529477295677864</v>
      </c>
      <c r="U45" s="71">
        <f t="shared" si="15"/>
        <v>2.978168354532662</v>
      </c>
      <c r="V45" s="74">
        <f t="shared" si="9"/>
        <v>0.0005364394658595728</v>
      </c>
      <c r="W45" s="73">
        <f t="shared" si="16"/>
        <v>0.03818564949153558</v>
      </c>
      <c r="X45" s="71">
        <f t="shared" si="17"/>
        <v>2.199617838773745</v>
      </c>
      <c r="Y45" s="74">
        <f t="shared" si="10"/>
        <v>-0.009885864825815771</v>
      </c>
      <c r="Z45" s="73">
        <f t="shared" si="18"/>
        <v>0.02742225380475971</v>
      </c>
      <c r="AA45" s="71">
        <f t="shared" si="19"/>
        <v>3.242727922392032</v>
      </c>
      <c r="AB45" s="74">
        <f t="shared" si="11"/>
        <v>0.0034825955683599474</v>
      </c>
      <c r="AC45" s="73">
        <f t="shared" si="20"/>
        <v>0.04113859722110336</v>
      </c>
      <c r="AD45" s="46">
        <f t="shared" si="21"/>
        <v>1.9550715419202938</v>
      </c>
      <c r="AE45" s="98">
        <f t="shared" si="12"/>
        <v>-0.013911110079902977</v>
      </c>
      <c r="AF45" s="96">
        <f t="shared" si="22"/>
        <v>0.023159594437381248</v>
      </c>
      <c r="AG45" s="97">
        <f t="shared" si="23"/>
        <v>3.2833526514246243</v>
      </c>
      <c r="AH45" s="98">
        <f t="shared" si="13"/>
        <v>0.003914286441645265</v>
      </c>
      <c r="AI45" s="17">
        <f t="shared" si="24"/>
        <v>0.040763395686775894</v>
      </c>
      <c r="AJ45" s="148">
        <f>10000*ABS(AK45-V45)+10000*ABS(AM45-AB45)+10000*ABS(AL45-Y45)</f>
        <v>0.05235291000937675</v>
      </c>
      <c r="AK45" s="161">
        <f>VLOOKUP($AP45,$BO$9:$BW$16,3)</f>
        <v>0.0005353843480249588</v>
      </c>
      <c r="AL45" s="162">
        <f>VLOOKUP($AP45,$BO$9:$BW$16,9)</f>
        <v>-0.00988919877636274</v>
      </c>
      <c r="AM45" s="162">
        <f>VLOOKUP($AP45,$BO$9:$BW$16,6)</f>
        <v>0.0034834417909793023</v>
      </c>
      <c r="AN45" s="157">
        <f>VLOOKUP($AP45,$BO$18:$BT$25,3)</f>
        <v>-0.013926716082572765</v>
      </c>
      <c r="AO45" s="157">
        <f>VLOOKUP($AP45,$BO$18:$BT$25,6)</f>
        <v>0.0037609352533054083</v>
      </c>
      <c r="AP45" s="2">
        <v>30</v>
      </c>
      <c r="AQ45" s="26"/>
    </row>
    <row r="46" spans="3:43" ht="12.75">
      <c r="C46" s="120">
        <f t="shared" si="0"/>
        <v>31</v>
      </c>
      <c r="D46" s="4">
        <f t="shared" si="1"/>
        <v>31.000684462696782</v>
      </c>
      <c r="E46" s="5">
        <f t="shared" si="2"/>
        <v>51656</v>
      </c>
      <c r="F46" s="5">
        <f t="shared" si="3"/>
        <v>51592</v>
      </c>
      <c r="G46" s="103">
        <v>0.29751151282751137</v>
      </c>
      <c r="H46" s="105">
        <v>676.539936281653</v>
      </c>
      <c r="I46" s="17">
        <f t="shared" si="4"/>
        <v>0.036479194370000245</v>
      </c>
      <c r="J46" s="27">
        <f t="shared" si="5"/>
        <v>2705.9002232035173</v>
      </c>
      <c r="K46" s="17">
        <f t="shared" si="6"/>
        <v>0.035548050631896366</v>
      </c>
      <c r="L46" s="16">
        <f t="shared" si="14"/>
        <v>0.035548050631896366</v>
      </c>
      <c r="M46" s="40">
        <f>(M45*9+M55*1)/10</f>
        <v>0.003960786690368484</v>
      </c>
      <c r="N46" s="41">
        <f>(N45*9+N55*1)/10</f>
        <v>-0.5438947608495541</v>
      </c>
      <c r="O46" s="41">
        <f>(O45*9+O55*1)/10</f>
        <v>0.2967936609461932</v>
      </c>
      <c r="P46" s="70">
        <f t="shared" si="25"/>
        <v>0.005171234804538134</v>
      </c>
      <c r="Q46" s="70">
        <f t="shared" si="25"/>
        <v>0.00781389862544809</v>
      </c>
      <c r="R46" s="70">
        <f t="shared" si="26"/>
        <v>0.01759760137885903</v>
      </c>
      <c r="S46" s="70">
        <f t="shared" si="26"/>
        <v>0.013361949257344458</v>
      </c>
      <c r="T46" s="70">
        <f t="shared" si="26"/>
        <v>0.002928671872084385</v>
      </c>
      <c r="U46" s="71">
        <f t="shared" si="15"/>
        <v>3.090715163948382</v>
      </c>
      <c r="V46" s="72">
        <f t="shared" si="9"/>
        <v>0.0005914813312981604</v>
      </c>
      <c r="W46" s="73">
        <f t="shared" si="16"/>
        <v>0.037790613564349984</v>
      </c>
      <c r="X46" s="71">
        <f t="shared" si="17"/>
        <v>2.2597935234546016</v>
      </c>
      <c r="Y46" s="72">
        <f t="shared" si="10"/>
        <v>-0.009831176769401484</v>
      </c>
      <c r="Z46" s="73">
        <f t="shared" si="18"/>
        <v>0.027357336179089975</v>
      </c>
      <c r="AA46" s="71">
        <f t="shared" si="19"/>
        <v>3.3747694862566093</v>
      </c>
      <c r="AB46" s="72">
        <f t="shared" si="11"/>
        <v>0.003537073835515381</v>
      </c>
      <c r="AC46" s="73">
        <f t="shared" si="20"/>
        <v>0.04071928543643444</v>
      </c>
      <c r="AD46" s="46">
        <f t="shared" si="21"/>
        <v>2.0002760884225315</v>
      </c>
      <c r="AE46" s="95">
        <f t="shared" si="12"/>
        <v>-0.01386320534419383</v>
      </c>
      <c r="AF46" s="96">
        <f t="shared" si="22"/>
        <v>0.02312168405757542</v>
      </c>
      <c r="AG46" s="97">
        <f t="shared" si="23"/>
        <v>3.416109359933305</v>
      </c>
      <c r="AH46" s="95">
        <f t="shared" si="13"/>
        <v>0.003945621046098857</v>
      </c>
      <c r="AI46" s="17">
        <f t="shared" si="24"/>
        <v>0.040433277385260036</v>
      </c>
      <c r="AJ46" s="148"/>
      <c r="AK46" s="114"/>
      <c r="AL46" s="26"/>
      <c r="AM46" s="26"/>
      <c r="AN46" s="158"/>
      <c r="AO46" s="158"/>
      <c r="AP46" s="2">
        <v>31</v>
      </c>
      <c r="AQ46" s="26"/>
    </row>
    <row r="47" spans="3:43" ht="12.75">
      <c r="C47" s="120">
        <f t="shared" si="0"/>
        <v>32</v>
      </c>
      <c r="D47" s="4">
        <f t="shared" si="1"/>
        <v>32</v>
      </c>
      <c r="E47" s="5">
        <f t="shared" si="2"/>
        <v>52021</v>
      </c>
      <c r="F47" s="5">
        <f t="shared" si="3"/>
        <v>51957</v>
      </c>
      <c r="G47" s="103">
        <v>0.28714405860212383</v>
      </c>
      <c r="H47" s="105">
        <v>700.5896122203516</v>
      </c>
      <c r="I47" s="17">
        <f t="shared" si="4"/>
        <v>0.03645008346000034</v>
      </c>
      <c r="J47" s="27">
        <f t="shared" si="5"/>
        <v>2791.898034233608</v>
      </c>
      <c r="K47" s="17">
        <f t="shared" si="6"/>
        <v>0.03554805067514355</v>
      </c>
      <c r="L47" s="16">
        <f t="shared" si="14"/>
        <v>0.03554805067514355</v>
      </c>
      <c r="M47" s="40">
        <f>(M45*8+M55*2)/10</f>
        <v>0.0039333154289561455</v>
      </c>
      <c r="N47" s="41">
        <f>(N45*8+N55*2)/10</f>
        <v>-0.5400790194131723</v>
      </c>
      <c r="O47" s="41">
        <f>(O45*8+O55*2)/10</f>
        <v>0.29322952737183844</v>
      </c>
      <c r="P47" s="70">
        <f t="shared" si="25"/>
        <v>0.005254104904798826</v>
      </c>
      <c r="Q47" s="70">
        <f t="shared" si="25"/>
        <v>0.00789446761801504</v>
      </c>
      <c r="R47" s="70">
        <f t="shared" si="26"/>
        <v>0.017678161007459416</v>
      </c>
      <c r="S47" s="70">
        <f t="shared" si="26"/>
        <v>0.013442518293158592</v>
      </c>
      <c r="T47" s="70">
        <f t="shared" si="26"/>
        <v>0.003001055355239414</v>
      </c>
      <c r="U47" s="71">
        <f t="shared" si="15"/>
        <v>3.207547597626804</v>
      </c>
      <c r="V47" s="72">
        <f t="shared" si="9"/>
        <v>0.0006434102241816841</v>
      </c>
      <c r="W47" s="73">
        <f t="shared" si="16"/>
        <v>0.037801100224702955</v>
      </c>
      <c r="X47" s="71">
        <f t="shared" si="17"/>
        <v>2.3216206545993425</v>
      </c>
      <c r="Y47" s="72">
        <f t="shared" si="10"/>
        <v>-0.009779835207124776</v>
      </c>
      <c r="Z47" s="73">
        <f t="shared" si="18"/>
        <v>0.0273596372867837</v>
      </c>
      <c r="AA47" s="71">
        <f t="shared" si="19"/>
        <v>3.5124673558812933</v>
      </c>
      <c r="AB47" s="72">
        <f t="shared" si="11"/>
        <v>0.0035907347414037005</v>
      </c>
      <c r="AC47" s="73">
        <f t="shared" si="20"/>
        <v>0.04080215557994227</v>
      </c>
      <c r="AD47" s="46">
        <f t="shared" si="21"/>
        <v>2.0465304618346813</v>
      </c>
      <c r="AE47" s="95">
        <f t="shared" si="12"/>
        <v>-0.013818223079551384</v>
      </c>
      <c r="AF47" s="96">
        <f t="shared" si="22"/>
        <v>0.02312399457248282</v>
      </c>
      <c r="AG47" s="97">
        <f t="shared" si="23"/>
        <v>3.554261820004927</v>
      </c>
      <c r="AH47" s="95">
        <f t="shared" si="13"/>
        <v>0.00397525218712369</v>
      </c>
      <c r="AI47" s="17">
        <f t="shared" si="24"/>
        <v>0.04044146293791928</v>
      </c>
      <c r="AJ47" s="148"/>
      <c r="AK47" s="116"/>
      <c r="AL47" s="117"/>
      <c r="AM47" s="117"/>
      <c r="AN47" s="159"/>
      <c r="AO47" s="159"/>
      <c r="AP47" s="2">
        <v>32</v>
      </c>
      <c r="AQ47" s="26"/>
    </row>
    <row r="48" spans="3:43" ht="12.75">
      <c r="C48" s="120">
        <f aca="true" t="shared" si="27" ref="C48:C65">C47+1</f>
        <v>33</v>
      </c>
      <c r="D48" s="4">
        <f aca="true" t="shared" si="28" ref="D48:D65">(F48-$E$12)/365.25</f>
        <v>32.99931553730322</v>
      </c>
      <c r="E48" s="5">
        <f aca="true" t="shared" si="29" ref="E48:E65">DATE(YEAR($E$15)+C48,MONTH($E$15),DAY($E$15))</f>
        <v>52386</v>
      </c>
      <c r="F48" s="5">
        <f aca="true" t="shared" si="30" ref="F48:F65">DATE(YEAR($F$15)+C48,MONTH($F$15),1)</f>
        <v>52322</v>
      </c>
      <c r="G48" s="103">
        <v>0.2771346981674349</v>
      </c>
      <c r="H48" s="105">
        <v>725.4942072033452</v>
      </c>
      <c r="I48" s="17">
        <f aca="true" t="shared" si="31" ref="I48:I65">((H48/$H$15)^(1/C48)-1)</f>
        <v>0.03642273759000014</v>
      </c>
      <c r="J48" s="27">
        <f aca="true" t="shared" si="32" ref="J48:J65">1000000*(((1+I48+0.01%)^C48-(1+I48)^C48))*G48</f>
        <v>2877.777925766176</v>
      </c>
      <c r="K48" s="17">
        <f aca="true" t="shared" si="33" ref="K48:K65">H48/H47-1</f>
        <v>0.03554805059707422</v>
      </c>
      <c r="L48" s="16">
        <f t="shared" si="14"/>
        <v>0.03554805059707422</v>
      </c>
      <c r="M48" s="40">
        <f>(M45*7+M55*3)/10</f>
        <v>0.0039058441675438064</v>
      </c>
      <c r="N48" s="41">
        <f>(N45*7+N55*3)/10</f>
        <v>-0.5362632779767905</v>
      </c>
      <c r="O48" s="41">
        <f>(O45*7+O55*3)/10</f>
        <v>0.28966539379748363</v>
      </c>
      <c r="P48" s="70">
        <f t="shared" si="25"/>
        <v>0.0053295851263344286</v>
      </c>
      <c r="Q48" s="70">
        <f t="shared" si="25"/>
        <v>0.00796990862130569</v>
      </c>
      <c r="R48" s="70">
        <f t="shared" si="26"/>
        <v>0.01775293957393094</v>
      </c>
      <c r="S48" s="70">
        <f t="shared" si="26"/>
        <v>0.013517959218379913</v>
      </c>
      <c r="T48" s="70">
        <f t="shared" si="26"/>
        <v>0.0030707179786284076</v>
      </c>
      <c r="U48" s="71">
        <f t="shared" si="15"/>
        <v>3.3288150858127477</v>
      </c>
      <c r="V48" s="72">
        <f aca="true" t="shared" si="34" ref="V48:V65">U48^(1/$C48)-1-$I48</f>
        <v>0.0006923677977925813</v>
      </c>
      <c r="W48" s="73">
        <f t="shared" si="16"/>
        <v>0.03780691774478018</v>
      </c>
      <c r="X48" s="71">
        <f t="shared" si="17"/>
        <v>2.385139444676573</v>
      </c>
      <c r="Y48" s="72">
        <f aca="true" t="shared" si="35" ref="Y48:Y65">X48^(1/$C48)-1-$I48</f>
        <v>-0.009731604370951663</v>
      </c>
      <c r="Z48" s="73">
        <f t="shared" si="18"/>
        <v>0.027359676505028574</v>
      </c>
      <c r="AA48" s="71">
        <f t="shared" si="19"/>
        <v>3.656048716945373</v>
      </c>
      <c r="AB48" s="72">
        <f aca="true" t="shared" si="36" ref="AB48:AB65">AA48^(1/$C48)-1-$I48</f>
        <v>0.0036434288309179497</v>
      </c>
      <c r="AC48" s="73">
        <f t="shared" si="20"/>
        <v>0.040877635723408634</v>
      </c>
      <c r="AD48" s="46">
        <f t="shared" si="21"/>
        <v>2.0938558569252588</v>
      </c>
      <c r="AE48" s="95">
        <f aca="true" t="shared" si="37" ref="AE48:AE65">AD48^(1/$C48)-1-$I48</f>
        <v>-0.013775946280816687</v>
      </c>
      <c r="AF48" s="96">
        <f t="shared" si="22"/>
        <v>0.023124696149477764</v>
      </c>
      <c r="AG48" s="97">
        <f t="shared" si="23"/>
        <v>3.698021905267904</v>
      </c>
      <c r="AH48" s="95">
        <f aca="true" t="shared" si="38" ref="AH48:AH65">AG48^(1/$C48)-1-$I48</f>
        <v>0.0040032618561849365</v>
      </c>
      <c r="AI48" s="17">
        <f t="shared" si="24"/>
        <v>0.04044724123975141</v>
      </c>
      <c r="AJ48" s="148"/>
      <c r="AK48" s="116"/>
      <c r="AL48" s="117"/>
      <c r="AM48" s="117"/>
      <c r="AN48" s="159"/>
      <c r="AO48" s="159"/>
      <c r="AP48" s="2">
        <v>33</v>
      </c>
      <c r="AQ48" s="26"/>
    </row>
    <row r="49" spans="3:43" ht="12.75">
      <c r="C49" s="120">
        <f t="shared" si="27"/>
        <v>34</v>
      </c>
      <c r="D49" s="4">
        <f t="shared" si="28"/>
        <v>34.001368925393564</v>
      </c>
      <c r="E49" s="5">
        <f t="shared" si="29"/>
        <v>52752</v>
      </c>
      <c r="F49" s="5">
        <f t="shared" si="30"/>
        <v>52688</v>
      </c>
      <c r="G49" s="103">
        <v>0.26744055979117964</v>
      </c>
      <c r="H49" s="105">
        <v>751.284112243419</v>
      </c>
      <c r="I49" s="17">
        <f t="shared" si="31"/>
        <v>0.036397000970000315</v>
      </c>
      <c r="J49" s="27">
        <f t="shared" si="32"/>
        <v>2963.1977945110416</v>
      </c>
      <c r="K49" s="17">
        <f t="shared" si="33"/>
        <v>0.03554805094790403</v>
      </c>
      <c r="L49" s="16">
        <f t="shared" si="14"/>
        <v>0.03554805094790403</v>
      </c>
      <c r="M49" s="40">
        <f>(M45*6+M55*4)/10</f>
        <v>0.0038783729061314678</v>
      </c>
      <c r="N49" s="41">
        <f>(N45*6+N55*4)/10</f>
        <v>-0.5324475365404087</v>
      </c>
      <c r="O49" s="41">
        <f>(O45*6+O55*4)/10</f>
        <v>0.2861012602231289</v>
      </c>
      <c r="P49" s="70">
        <f t="shared" si="25"/>
        <v>0.00539836869689989</v>
      </c>
      <c r="Q49" s="70">
        <f t="shared" si="25"/>
        <v>0.008040816684463492</v>
      </c>
      <c r="R49" s="70">
        <f t="shared" si="26"/>
        <v>0.017822574591638083</v>
      </c>
      <c r="S49" s="70">
        <f t="shared" si="26"/>
        <v>0.013588867632367524</v>
      </c>
      <c r="T49" s="70">
        <f t="shared" si="26"/>
        <v>0.003137957558137998</v>
      </c>
      <c r="U49" s="71">
        <f aca="true" t="shared" si="39" ref="U49:U65">U48*(1+P49-T49+K49)</f>
        <v>3.4546724647782203</v>
      </c>
      <c r="V49" s="72">
        <f t="shared" si="34"/>
        <v>0.0007384906485206066</v>
      </c>
      <c r="W49" s="73">
        <f aca="true" t="shared" si="40" ref="W49:W65">U49/U48-1</f>
        <v>0.037808462086665884</v>
      </c>
      <c r="X49" s="71">
        <f aca="true" t="shared" si="41" ref="X49:X65">X48*(1+P49-S49+K49)</f>
        <v>2.4503910210912263</v>
      </c>
      <c r="Y49" s="72">
        <f t="shared" si="35"/>
        <v>-0.009686273369775122</v>
      </c>
      <c r="Z49" s="73">
        <f aca="true" t="shared" si="42" ref="Z49:Z65">X49/X48-1</f>
        <v>0.027357552012436503</v>
      </c>
      <c r="AA49" s="71">
        <f aca="true" t="shared" si="43" ref="AA49:AA65">AA48*(1+P49-0+K49)</f>
        <v>3.8057508219512655</v>
      </c>
      <c r="AB49" s="72">
        <f t="shared" si="36"/>
        <v>0.0036950446239265577</v>
      </c>
      <c r="AC49" s="73">
        <f aca="true" t="shared" si="44" ref="AC49:AC65">AA49/AA48-1</f>
        <v>0.040946419644803944</v>
      </c>
      <c r="AD49" s="46">
        <f aca="true" t="shared" si="45" ref="AD49:AD65">AD48*(1+P49-R49+K49)</f>
        <v>2.1422738553244622</v>
      </c>
      <c r="AE49" s="95">
        <f t="shared" si="37"/>
        <v>-0.013736181843773121</v>
      </c>
      <c r="AF49" s="96">
        <f aca="true" t="shared" si="46" ref="AF49:AF65">AD49/AD48-1</f>
        <v>0.023123845053165892</v>
      </c>
      <c r="AG49" s="97">
        <f aca="true" t="shared" si="47" ref="AG49:AG65">AG48*(1+Q49-T49+K49)</f>
        <v>3.8476102568104267</v>
      </c>
      <c r="AH49" s="95">
        <f t="shared" si="38"/>
        <v>0.0040297311332024854</v>
      </c>
      <c r="AI49" s="17">
        <f aca="true" t="shared" si="48" ref="AI49:AI65">AG49/AG48-1</f>
        <v>0.04045091007422941</v>
      </c>
      <c r="AJ49" s="148"/>
      <c r="AK49" s="116"/>
      <c r="AL49" s="117"/>
      <c r="AM49" s="117"/>
      <c r="AN49" s="159"/>
      <c r="AO49" s="159"/>
      <c r="AP49" s="2">
        <v>34</v>
      </c>
      <c r="AQ49" s="26"/>
    </row>
    <row r="50" spans="3:43" ht="12.75">
      <c r="C50" s="120">
        <f t="shared" si="27"/>
        <v>35</v>
      </c>
      <c r="D50" s="4">
        <f t="shared" si="28"/>
        <v>35.00068446269678</v>
      </c>
      <c r="E50" s="6">
        <f t="shared" si="29"/>
        <v>53117</v>
      </c>
      <c r="F50" s="6">
        <f t="shared" si="30"/>
        <v>53053</v>
      </c>
      <c r="G50" s="103">
        <v>0.25809774135227864</v>
      </c>
      <c r="H50" s="105">
        <v>777.9907083014648</v>
      </c>
      <c r="I50" s="16">
        <f t="shared" si="31"/>
        <v>0.036372732180000256</v>
      </c>
      <c r="J50" s="27">
        <f t="shared" si="32"/>
        <v>3048.653418638565</v>
      </c>
      <c r="K50" s="16">
        <f t="shared" si="33"/>
        <v>0.03554793136553469</v>
      </c>
      <c r="L50" s="16">
        <f t="shared" si="14"/>
        <v>0.03554793136553469</v>
      </c>
      <c r="M50" s="40">
        <f>(M45*5+M55*5)/10</f>
        <v>0.0038509016447191304</v>
      </c>
      <c r="N50" s="41">
        <f>(N45*5+N55*5)/10</f>
        <v>-0.5286317951040267</v>
      </c>
      <c r="O50" s="41">
        <f>(O45*5+O55*5)/10</f>
        <v>0.2825371266487741</v>
      </c>
      <c r="P50" s="70">
        <f t="shared" si="25"/>
        <v>0.00545941019691829</v>
      </c>
      <c r="Q50" s="70">
        <f t="shared" si="25"/>
        <v>0.00810650107595081</v>
      </c>
      <c r="R50" s="70">
        <f t="shared" si="26"/>
        <v>0.017886170540118207</v>
      </c>
      <c r="S50" s="70">
        <f t="shared" si="26"/>
        <v>0.013654432441485502</v>
      </c>
      <c r="T50" s="70">
        <f t="shared" si="26"/>
        <v>0.0032022065862467156</v>
      </c>
      <c r="U50" s="71">
        <f t="shared" si="39"/>
        <v>3.585276823607744</v>
      </c>
      <c r="V50" s="74">
        <f t="shared" si="34"/>
        <v>0.0007818861082451445</v>
      </c>
      <c r="W50" s="73">
        <f t="shared" si="40"/>
        <v>0.0378051349762063</v>
      </c>
      <c r="X50" s="71">
        <f t="shared" si="41"/>
        <v>2.517416344001969</v>
      </c>
      <c r="Y50" s="74">
        <f t="shared" si="35"/>
        <v>-0.009643662108206996</v>
      </c>
      <c r="Z50" s="73">
        <f t="shared" si="42"/>
        <v>0.02735290912096744</v>
      </c>
      <c r="AA50" s="71">
        <f t="shared" si="43"/>
        <v>3.961814545808607</v>
      </c>
      <c r="AB50" s="74">
        <f t="shared" si="36"/>
        <v>0.003745453555771716</v>
      </c>
      <c r="AC50" s="73">
        <f t="shared" si="44"/>
        <v>0.041007341562453004</v>
      </c>
      <c r="AD50" s="46">
        <f t="shared" si="45"/>
        <v>2.1918057355100955</v>
      </c>
      <c r="AE50" s="98">
        <f t="shared" si="37"/>
        <v>-0.013698763017421234</v>
      </c>
      <c r="AF50" s="96">
        <f t="shared" si="46"/>
        <v>0.023121171022334686</v>
      </c>
      <c r="AG50" s="97">
        <f t="shared" si="47"/>
        <v>4.003254655921856</v>
      </c>
      <c r="AH50" s="98">
        <f t="shared" si="38"/>
        <v>0.004054728307449018</v>
      </c>
      <c r="AI50" s="17">
        <f t="shared" si="48"/>
        <v>0.04045222585523889</v>
      </c>
      <c r="AJ50" s="148"/>
      <c r="AK50" s="114"/>
      <c r="AL50" s="26"/>
      <c r="AM50" s="26"/>
      <c r="AN50" s="158"/>
      <c r="AO50" s="158"/>
      <c r="AP50" s="2">
        <v>35</v>
      </c>
      <c r="AQ50" s="26"/>
    </row>
    <row r="51" spans="3:43" ht="12.75">
      <c r="C51" s="120">
        <f t="shared" si="27"/>
        <v>36</v>
      </c>
      <c r="D51" s="4">
        <f t="shared" si="28"/>
        <v>36</v>
      </c>
      <c r="E51" s="5">
        <f t="shared" si="29"/>
        <v>53482</v>
      </c>
      <c r="F51" s="5">
        <f t="shared" si="30"/>
        <v>53418</v>
      </c>
      <c r="G51" s="103">
        <v>0.24906312740513184</v>
      </c>
      <c r="H51" s="105">
        <v>804.0576878972137</v>
      </c>
      <c r="I51" s="17">
        <f t="shared" si="31"/>
        <v>0.03629297996000025</v>
      </c>
      <c r="J51" s="27">
        <f t="shared" si="32"/>
        <v>3127.7712609088007</v>
      </c>
      <c r="K51" s="17">
        <f t="shared" si="33"/>
        <v>0.03350551531991841</v>
      </c>
      <c r="L51" s="16">
        <f t="shared" si="14"/>
        <v>0.03350551531991841</v>
      </c>
      <c r="M51" s="40">
        <f>(M45*4+M55*6)/10</f>
        <v>0.0038234303833067917</v>
      </c>
      <c r="N51" s="41">
        <f>(N45*4+N55*6)/10</f>
        <v>-0.5248160536676449</v>
      </c>
      <c r="O51" s="41">
        <f>(O45*4+O55*6)/10</f>
        <v>0.2789729930744193</v>
      </c>
      <c r="P51" s="70">
        <f t="shared" si="25"/>
        <v>0.0055968322265843124</v>
      </c>
      <c r="Q51" s="70">
        <f t="shared" si="25"/>
        <v>0.008558939165272745</v>
      </c>
      <c r="R51" s="70">
        <f t="shared" si="26"/>
        <v>0.016166961659848447</v>
      </c>
      <c r="S51" s="70">
        <f t="shared" si="26"/>
        <v>0.012064454485191157</v>
      </c>
      <c r="T51" s="70">
        <f t="shared" si="26"/>
        <v>0.002916858241763812</v>
      </c>
      <c r="U51" s="71">
        <f t="shared" si="39"/>
        <v>3.7150118197629305</v>
      </c>
      <c r="V51" s="72">
        <f t="shared" si="34"/>
        <v>0.0008347058432633947</v>
      </c>
      <c r="W51" s="73">
        <f t="shared" si="40"/>
        <v>0.03618548930473886</v>
      </c>
      <c r="X51" s="71">
        <f t="shared" si="41"/>
        <v>2.585481977901892</v>
      </c>
      <c r="Y51" s="72">
        <f t="shared" si="35"/>
        <v>-0.009555332725869059</v>
      </c>
      <c r="Z51" s="73">
        <f t="shared" si="42"/>
        <v>0.027037893061311546</v>
      </c>
      <c r="AA51" s="71">
        <f t="shared" si="43"/>
        <v>4.116730795093605</v>
      </c>
      <c r="AB51" s="72">
        <f t="shared" si="36"/>
        <v>0.003796974642934936</v>
      </c>
      <c r="AC51" s="73">
        <f t="shared" si="44"/>
        <v>0.03910234754650266</v>
      </c>
      <c r="AD51" s="46">
        <f t="shared" si="45"/>
        <v>2.2420756458426014</v>
      </c>
      <c r="AE51" s="95">
        <f t="shared" si="37"/>
        <v>-0.013611750123925015</v>
      </c>
      <c r="AF51" s="96">
        <f t="shared" si="46"/>
        <v>0.022935385886654114</v>
      </c>
      <c r="AG51" s="97">
        <f t="shared" si="47"/>
        <v>4.159972452851505</v>
      </c>
      <c r="AH51" s="95">
        <f t="shared" si="38"/>
        <v>0.004098907466380197</v>
      </c>
      <c r="AI51" s="17">
        <f t="shared" si="48"/>
        <v>0.03914759624342734</v>
      </c>
      <c r="AJ51" s="148"/>
      <c r="AK51" s="114"/>
      <c r="AL51" s="26"/>
      <c r="AM51" s="26"/>
      <c r="AN51" s="158"/>
      <c r="AO51" s="158"/>
      <c r="AP51" s="2">
        <v>36</v>
      </c>
      <c r="AQ51" s="26"/>
    </row>
    <row r="52" spans="3:43" ht="12.75">
      <c r="C52" s="120">
        <f t="shared" si="27"/>
        <v>37</v>
      </c>
      <c r="D52" s="4">
        <f t="shared" si="28"/>
        <v>36.99931553730322</v>
      </c>
      <c r="E52" s="5">
        <f t="shared" si="29"/>
        <v>53847</v>
      </c>
      <c r="F52" s="5">
        <f t="shared" si="30"/>
        <v>53783</v>
      </c>
      <c r="G52" s="103">
        <v>0.24032322140092716</v>
      </c>
      <c r="H52" s="105">
        <v>830.9980550959991</v>
      </c>
      <c r="I52" s="17">
        <f t="shared" si="31"/>
        <v>0.03621754432000013</v>
      </c>
      <c r="J52" s="27">
        <f t="shared" si="32"/>
        <v>3206.165540514525</v>
      </c>
      <c r="K52" s="17">
        <f t="shared" si="33"/>
        <v>0.03350551534335855</v>
      </c>
      <c r="L52" s="16">
        <f t="shared" si="14"/>
        <v>0.03350551534335855</v>
      </c>
      <c r="M52" s="40">
        <f>(M45*3+M55*7)/10</f>
        <v>0.003795959121894453</v>
      </c>
      <c r="N52" s="41">
        <f>(N45*3+N55*7)/10</f>
        <v>-0.5210003122312631</v>
      </c>
      <c r="O52" s="41">
        <f>(O45*3+O55*7)/10</f>
        <v>0.27540885950006455</v>
      </c>
      <c r="P52" s="70">
        <f t="shared" si="25"/>
        <v>0.005644061451703474</v>
      </c>
      <c r="Q52" s="70">
        <f t="shared" si="25"/>
        <v>0.008617026796801906</v>
      </c>
      <c r="R52" s="70">
        <f t="shared" si="26"/>
        <v>0.016221254003358068</v>
      </c>
      <c r="S52" s="70">
        <f t="shared" si="26"/>
        <v>0.012122542140160456</v>
      </c>
      <c r="T52" s="70">
        <f t="shared" si="26"/>
        <v>0.00297299526289679</v>
      </c>
      <c r="U52" s="71">
        <f t="shared" si="39"/>
        <v>3.849408247753542</v>
      </c>
      <c r="V52" s="72">
        <f t="shared" si="34"/>
        <v>0.0008844244873589258</v>
      </c>
      <c r="W52" s="73">
        <f t="shared" si="40"/>
        <v>0.0361765815321653</v>
      </c>
      <c r="X52" s="71">
        <f t="shared" si="41"/>
        <v>2.65535988891827</v>
      </c>
      <c r="Y52" s="72">
        <f t="shared" si="35"/>
        <v>-0.009472076876457569</v>
      </c>
      <c r="Z52" s="73">
        <f t="shared" si="42"/>
        <v>0.027027034654901527</v>
      </c>
      <c r="AA52" s="71">
        <f t="shared" si="43"/>
        <v>4.277899063500719</v>
      </c>
      <c r="AB52" s="72">
        <f t="shared" si="36"/>
        <v>0.003846983480855881</v>
      </c>
      <c r="AC52" s="73">
        <f t="shared" si="44"/>
        <v>0.039149576795062035</v>
      </c>
      <c r="AD52" s="46">
        <f t="shared" si="45"/>
        <v>2.2934826799738985</v>
      </c>
      <c r="AE52" s="95">
        <f t="shared" si="37"/>
        <v>-0.013529637080773815</v>
      </c>
      <c r="AF52" s="96">
        <f t="shared" si="46"/>
        <v>0.02292832279170387</v>
      </c>
      <c r="AG52" s="97">
        <f t="shared" si="47"/>
        <v>4.322833489402542</v>
      </c>
      <c r="AH52" s="95">
        <f t="shared" si="38"/>
        <v>0.004140746814115914</v>
      </c>
      <c r="AI52" s="17">
        <f t="shared" si="48"/>
        <v>0.0391495468772638</v>
      </c>
      <c r="AJ52" s="148"/>
      <c r="AK52" s="116"/>
      <c r="AL52" s="117"/>
      <c r="AM52" s="117"/>
      <c r="AN52" s="159"/>
      <c r="AO52" s="159"/>
      <c r="AP52" s="2">
        <v>37</v>
      </c>
      <c r="AQ52" s="26"/>
    </row>
    <row r="53" spans="3:43" ht="12.75">
      <c r="C53" s="120">
        <f t="shared" si="27"/>
        <v>38</v>
      </c>
      <c r="D53" s="4">
        <f t="shared" si="28"/>
        <v>38.001368925393564</v>
      </c>
      <c r="E53" s="5">
        <f t="shared" si="29"/>
        <v>54213</v>
      </c>
      <c r="F53" s="5">
        <f t="shared" si="30"/>
        <v>54149</v>
      </c>
      <c r="G53" s="103">
        <v>0.23184239765488024</v>
      </c>
      <c r="H53" s="105">
        <v>858.8410731127502</v>
      </c>
      <c r="I53" s="17">
        <f t="shared" si="31"/>
        <v>0.036146084040000304</v>
      </c>
      <c r="J53" s="27">
        <f t="shared" si="32"/>
        <v>3283.437151577333</v>
      </c>
      <c r="K53" s="17">
        <f t="shared" si="33"/>
        <v>0.033505515260844554</v>
      </c>
      <c r="L53" s="16">
        <f t="shared" si="14"/>
        <v>0.033505515260844554</v>
      </c>
      <c r="M53" s="40">
        <f>(M45*2+M55*8)/10</f>
        <v>0.003768487860482115</v>
      </c>
      <c r="N53" s="41">
        <f>(N45*2+N55*8)/10</f>
        <v>-0.5171845707948812</v>
      </c>
      <c r="O53" s="41">
        <f>(O45*2+O55*8)/10</f>
        <v>0.27184472592570985</v>
      </c>
      <c r="P53" s="70">
        <f t="shared" si="25"/>
        <v>0.005685121863452029</v>
      </c>
      <c r="Q53" s="70">
        <f t="shared" si="25"/>
        <v>0.008671395429682826</v>
      </c>
      <c r="R53" s="70">
        <f t="shared" si="26"/>
        <v>0.016271193784538493</v>
      </c>
      <c r="S53" s="70">
        <f t="shared" si="26"/>
        <v>0.012176910690527381</v>
      </c>
      <c r="T53" s="70">
        <f t="shared" si="26"/>
        <v>0.003026796249745453</v>
      </c>
      <c r="U53" s="71">
        <f t="shared" si="39"/>
        <v>3.9886176350864857</v>
      </c>
      <c r="V53" s="72">
        <f t="shared" si="34"/>
        <v>0.0009311863117611452</v>
      </c>
      <c r="W53" s="73">
        <f t="shared" si="40"/>
        <v>0.036163840874551045</v>
      </c>
      <c r="X53" s="71">
        <f t="shared" si="41"/>
        <v>2.7270910545407117</v>
      </c>
      <c r="Y53" s="72">
        <f t="shared" si="35"/>
        <v>-0.009393558047138262</v>
      </c>
      <c r="Z53" s="73">
        <f t="shared" si="42"/>
        <v>0.027013726433769092</v>
      </c>
      <c r="AA53" s="71">
        <f t="shared" si="43"/>
        <v>4.445552653352744</v>
      </c>
      <c r="AB53" s="72">
        <f t="shared" si="36"/>
        <v>0.0038954372254265124</v>
      </c>
      <c r="AC53" s="73">
        <f t="shared" si="44"/>
        <v>0.03919063712429649</v>
      </c>
      <c r="AD53" s="46">
        <f t="shared" si="45"/>
        <v>2.346048026308277</v>
      </c>
      <c r="AE53" s="95">
        <f t="shared" si="37"/>
        <v>-0.013452084416978316</v>
      </c>
      <c r="AF53" s="96">
        <f t="shared" si="46"/>
        <v>0.02291944333975815</v>
      </c>
      <c r="AG53" s="97">
        <f t="shared" si="47"/>
        <v>4.4920729152210965</v>
      </c>
      <c r="AH53" s="95">
        <f t="shared" si="38"/>
        <v>0.0041803949812979635</v>
      </c>
      <c r="AI53" s="17">
        <f t="shared" si="48"/>
        <v>0.03915011444078198</v>
      </c>
      <c r="AJ53" s="148"/>
      <c r="AK53" s="116"/>
      <c r="AL53" s="117"/>
      <c r="AM53" s="117"/>
      <c r="AN53" s="159"/>
      <c r="AO53" s="159"/>
      <c r="AP53" s="2">
        <v>38</v>
      </c>
      <c r="AQ53" s="26"/>
    </row>
    <row r="54" spans="3:43" ht="12.75">
      <c r="C54" s="120">
        <f t="shared" si="27"/>
        <v>39</v>
      </c>
      <c r="D54" s="4">
        <f t="shared" si="28"/>
        <v>39.00068446269678</v>
      </c>
      <c r="E54" s="5">
        <f t="shared" si="29"/>
        <v>54578</v>
      </c>
      <c r="F54" s="5">
        <f t="shared" si="30"/>
        <v>54514</v>
      </c>
      <c r="G54" s="103">
        <v>0.2236541417214339</v>
      </c>
      <c r="H54" s="105">
        <v>887.616985953817</v>
      </c>
      <c r="I54" s="17">
        <f t="shared" si="31"/>
        <v>0.03607829295000031</v>
      </c>
      <c r="J54" s="27">
        <f t="shared" si="32"/>
        <v>3360.1296809657674</v>
      </c>
      <c r="K54" s="17">
        <f t="shared" si="33"/>
        <v>0.03350551544626579</v>
      </c>
      <c r="L54" s="16">
        <f t="shared" si="14"/>
        <v>0.03350551544626579</v>
      </c>
      <c r="M54" s="40">
        <f>(M45*1+M55*9)/10</f>
        <v>0.003741016599069776</v>
      </c>
      <c r="N54" s="41">
        <f>(N45*1+N55*9)/10</f>
        <v>-0.5133688293584994</v>
      </c>
      <c r="O54" s="41">
        <f>(O45*1+O55*9)/10</f>
        <v>0.26828059235135504</v>
      </c>
      <c r="P54" s="70">
        <f t="shared" si="25"/>
        <v>0.0057190758510741275</v>
      </c>
      <c r="Q54" s="70">
        <f t="shared" si="25"/>
        <v>0.008721405115376788</v>
      </c>
      <c r="R54" s="70">
        <f t="shared" si="26"/>
        <v>0.01631607242266886</v>
      </c>
      <c r="S54" s="70">
        <f t="shared" si="26"/>
        <v>0.012226920561642577</v>
      </c>
      <c r="T54" s="70">
        <f t="shared" si="26"/>
        <v>0.003077753135010968</v>
      </c>
      <c r="U54" s="71">
        <f t="shared" si="39"/>
        <v>4.132793551233368</v>
      </c>
      <c r="V54" s="72">
        <f t="shared" si="34"/>
        <v>0.0009751097324128821</v>
      </c>
      <c r="W54" s="73">
        <f t="shared" si="40"/>
        <v>0.03614683816232889</v>
      </c>
      <c r="X54" s="71">
        <f t="shared" si="41"/>
        <v>2.8007161608974673</v>
      </c>
      <c r="Y54" s="72">
        <f t="shared" si="35"/>
        <v>-0.009319481925532003</v>
      </c>
      <c r="Z54" s="73">
        <f t="shared" si="42"/>
        <v>0.026997670735697366</v>
      </c>
      <c r="AA54" s="71">
        <f t="shared" si="43"/>
        <v>4.61992763927131</v>
      </c>
      <c r="AB54" s="72">
        <f t="shared" si="36"/>
        <v>0.0039422733732865645</v>
      </c>
      <c r="AC54" s="73">
        <f t="shared" si="44"/>
        <v>0.039224591297339906</v>
      </c>
      <c r="AD54" s="46">
        <f t="shared" si="45"/>
        <v>2.399792511799845</v>
      </c>
      <c r="AE54" s="95">
        <f t="shared" si="37"/>
        <v>-0.01337879339536574</v>
      </c>
      <c r="AF54" s="96">
        <f t="shared" si="46"/>
        <v>0.022908518874670936</v>
      </c>
      <c r="AG54" s="97">
        <f t="shared" si="47"/>
        <v>4.667933829871724</v>
      </c>
      <c r="AH54" s="95">
        <f t="shared" si="38"/>
        <v>0.0042179819388772355</v>
      </c>
      <c r="AI54" s="17">
        <f t="shared" si="48"/>
        <v>0.03914916742663155</v>
      </c>
      <c r="AJ54" s="148"/>
      <c r="AK54" s="116"/>
      <c r="AL54" s="117"/>
      <c r="AM54" s="117"/>
      <c r="AN54" s="159"/>
      <c r="AO54" s="159"/>
      <c r="AP54" s="2">
        <v>39</v>
      </c>
      <c r="AQ54" s="26"/>
    </row>
    <row r="55" spans="3:43" ht="12.75">
      <c r="C55" s="120">
        <f t="shared" si="27"/>
        <v>40</v>
      </c>
      <c r="D55" s="4">
        <f t="shared" si="28"/>
        <v>40</v>
      </c>
      <c r="E55" s="6">
        <f t="shared" si="29"/>
        <v>54943</v>
      </c>
      <c r="F55" s="6">
        <f t="shared" si="30"/>
        <v>54879</v>
      </c>
      <c r="G55" s="103">
        <v>0.21572207326454415</v>
      </c>
      <c r="H55" s="105">
        <v>917.3569715072373</v>
      </c>
      <c r="I55" s="16">
        <f t="shared" si="31"/>
        <v>0.036013893290000265</v>
      </c>
      <c r="J55" s="27">
        <f t="shared" si="32"/>
        <v>3435.81555849415</v>
      </c>
      <c r="K55" s="16">
        <f t="shared" si="33"/>
        <v>0.03350542635398335</v>
      </c>
      <c r="L55" s="16">
        <f t="shared" si="14"/>
        <v>0.03350542635398335</v>
      </c>
      <c r="M55" s="38">
        <v>0.003713545337657438</v>
      </c>
      <c r="N55" s="39">
        <v>-0.5095530879221175</v>
      </c>
      <c r="O55" s="39">
        <v>0.2647164587770003</v>
      </c>
      <c r="P55" s="70">
        <f t="shared" si="25"/>
        <v>0.0057465923458370925</v>
      </c>
      <c r="Q55" s="70">
        <f t="shared" si="25"/>
        <v>0.008767571930175279</v>
      </c>
      <c r="R55" s="70">
        <f t="shared" si="26"/>
        <v>0.01635636203173649</v>
      </c>
      <c r="S55" s="70">
        <f t="shared" si="26"/>
        <v>0.012272998284158627</v>
      </c>
      <c r="T55" s="70">
        <f t="shared" si="26"/>
        <v>0.0031261287596493414</v>
      </c>
      <c r="U55" s="71">
        <f t="shared" si="39"/>
        <v>4.282094396210673</v>
      </c>
      <c r="V55" s="74">
        <f t="shared" si="34"/>
        <v>0.0010163114578507493</v>
      </c>
      <c r="W55" s="73">
        <f t="shared" si="40"/>
        <v>0.036125889940171074</v>
      </c>
      <c r="X55" s="71">
        <f t="shared" si="41"/>
        <v>2.876276739380794</v>
      </c>
      <c r="Y55" s="74">
        <f t="shared" si="35"/>
        <v>-0.009249577606267101</v>
      </c>
      <c r="Z55" s="73">
        <f t="shared" si="42"/>
        <v>0.026979020415661914</v>
      </c>
      <c r="AA55" s="71">
        <f t="shared" si="43"/>
        <v>4.801269125359805</v>
      </c>
      <c r="AB55" s="74">
        <f t="shared" si="36"/>
        <v>0.003987452417606896</v>
      </c>
      <c r="AC55" s="73">
        <f t="shared" si="44"/>
        <v>0.03925201869982042</v>
      </c>
      <c r="AD55" s="46">
        <f t="shared" si="45"/>
        <v>2.4547373372246533</v>
      </c>
      <c r="AE55" s="98">
        <f t="shared" si="37"/>
        <v>-0.013309490266008916</v>
      </c>
      <c r="AF55" s="96">
        <f t="shared" si="46"/>
        <v>0.02289565666808402</v>
      </c>
      <c r="AG55" s="97">
        <f t="shared" si="47"/>
        <v>4.8506688264587545</v>
      </c>
      <c r="AH55" s="98">
        <f t="shared" si="38"/>
        <v>0.004253630975886269</v>
      </c>
      <c r="AI55" s="17">
        <f t="shared" si="48"/>
        <v>0.03914686952450919</v>
      </c>
      <c r="AJ55" s="148">
        <f>10000*ABS(AK55-V55)+10000*ABS(AM55-AB55)+10000*ABS(AL55-Y55)</f>
        <v>0.03435709314393229</v>
      </c>
      <c r="AK55" s="161">
        <f>VLOOKUP($AP55,$BO$9:$BW$16,3)</f>
        <v>0.0010163092586171762</v>
      </c>
      <c r="AL55" s="162">
        <f>VLOOKUP($AP55,$BO$9:$BW$16,9)</f>
        <v>-0.009249877647820138</v>
      </c>
      <c r="AM55" s="162">
        <f>VLOOKUP($AP55,$BO$9:$BW$16,6)</f>
        <v>0.003990585886134679</v>
      </c>
      <c r="AN55" s="157">
        <f>VLOOKUP($AP55,$BO$18:$BT$25,3)</f>
        <v>-0.01333862821030768</v>
      </c>
      <c r="AO55" s="157">
        <f>VLOOKUP($AP55,$BO$18:$BT$25,6)</f>
        <v>0.004006853599351379</v>
      </c>
      <c r="AP55" s="2">
        <v>40</v>
      </c>
      <c r="AQ55" s="26"/>
    </row>
    <row r="56" spans="3:43" ht="12.75">
      <c r="C56" s="120">
        <f t="shared" si="27"/>
        <v>41</v>
      </c>
      <c r="D56" s="4">
        <f t="shared" si="28"/>
        <v>40.99931553730322</v>
      </c>
      <c r="E56" s="5">
        <f t="shared" si="29"/>
        <v>55308</v>
      </c>
      <c r="F56" s="5">
        <f t="shared" si="30"/>
        <v>55244</v>
      </c>
      <c r="G56" s="103">
        <v>0.208034321209781</v>
      </c>
      <c r="H56" s="105">
        <v>949.7664106548108</v>
      </c>
      <c r="I56" s="17">
        <f t="shared" si="31"/>
        <v>0.03599718677000019</v>
      </c>
      <c r="J56" s="27">
        <f t="shared" si="32"/>
        <v>3516.4183845212515</v>
      </c>
      <c r="K56" s="17">
        <f t="shared" si="33"/>
        <v>0.035329146836180936</v>
      </c>
      <c r="L56" s="16">
        <f t="shared" si="14"/>
        <v>0.035329146836180936</v>
      </c>
      <c r="M56" s="40">
        <f>(M55*9+M65*1)/10</f>
        <v>0.0036803888869587865</v>
      </c>
      <c r="N56" s="41">
        <f>(N55*9+N65*1)/10</f>
        <v>-0.515729073820306</v>
      </c>
      <c r="O56" s="41">
        <f>(O55*9+O65*1)/10</f>
        <v>0.2616731104803135</v>
      </c>
      <c r="P56" s="70">
        <f aca="true" t="shared" si="49" ref="P56:Q65">BlackNormalp($K56,P$13,SABRNormalvolHagan(P$13,$K56,$O56,SABRatmvol_to_alpha($D56,1+$L56,$M56,0.0000001,$N56,$O56),$N56,$D56),$D56)</f>
        <v>0.005711449101822796</v>
      </c>
      <c r="Q56" s="70">
        <f t="shared" si="49"/>
        <v>0.008448028594232099</v>
      </c>
      <c r="R56" s="70">
        <f aca="true" t="shared" si="50" ref="R56:T65">BlackNormalc($K56,R$13,SABRNormalvolHagan(R$13,$K56,$O56,SABRatmvol_to_alpha($D56,1+$L56,$M56,0.0000001,$N56,$O56),$N56,$D56),$D56)</f>
        <v>0.017979840969686793</v>
      </c>
      <c r="S56" s="70">
        <f t="shared" si="50"/>
        <v>0.013777175430413036</v>
      </c>
      <c r="T56" s="70">
        <f t="shared" si="50"/>
        <v>0.0034320976186576454</v>
      </c>
      <c r="U56" s="71">
        <f t="shared" si="39"/>
        <v>4.443137536113843</v>
      </c>
      <c r="V56" s="72">
        <f t="shared" si="34"/>
        <v>0.0010471188637291018</v>
      </c>
      <c r="W56" s="73">
        <f t="shared" si="40"/>
        <v>0.037608498319346095</v>
      </c>
      <c r="X56" s="71">
        <f t="shared" si="41"/>
        <v>2.954693881622735</v>
      </c>
      <c r="Y56" s="72">
        <f t="shared" si="35"/>
        <v>-0.009220700683479688</v>
      </c>
      <c r="Z56" s="73">
        <f t="shared" si="42"/>
        <v>0.027263420507590785</v>
      </c>
      <c r="AA56" s="71">
        <f t="shared" si="43"/>
        <v>4.998316071523309</v>
      </c>
      <c r="AB56" s="72">
        <f t="shared" si="36"/>
        <v>0.004029494156590152</v>
      </c>
      <c r="AC56" s="73">
        <f t="shared" si="44"/>
        <v>0.0410405959380038</v>
      </c>
      <c r="AD56" s="46">
        <f t="shared" si="45"/>
        <v>2.51134543346997</v>
      </c>
      <c r="AE56" s="95">
        <f t="shared" si="37"/>
        <v>-0.013284093712138567</v>
      </c>
      <c r="AF56" s="96">
        <f t="shared" si="46"/>
        <v>0.023060754968317054</v>
      </c>
      <c r="AG56" s="97">
        <f t="shared" si="47"/>
        <v>5.046369437701289</v>
      </c>
      <c r="AH56" s="95">
        <f t="shared" si="38"/>
        <v>0.004272228976999637</v>
      </c>
      <c r="AI56" s="17">
        <f t="shared" si="48"/>
        <v>0.04034507781175534</v>
      </c>
      <c r="AJ56" s="148"/>
      <c r="AK56" s="114"/>
      <c r="AL56" s="26"/>
      <c r="AM56" s="26"/>
      <c r="AN56" s="158"/>
      <c r="AO56" s="158"/>
      <c r="AP56" s="2">
        <v>41</v>
      </c>
      <c r="AQ56" s="26"/>
    </row>
    <row r="57" spans="3:43" ht="12.75">
      <c r="C57" s="120">
        <f t="shared" si="27"/>
        <v>42</v>
      </c>
      <c r="D57" s="4">
        <f t="shared" si="28"/>
        <v>42.001368925393564</v>
      </c>
      <c r="E57" s="5">
        <f t="shared" si="29"/>
        <v>55674</v>
      </c>
      <c r="F57" s="5">
        <f t="shared" si="30"/>
        <v>55610</v>
      </c>
      <c r="G57" s="103">
        <v>0.2005627469933588</v>
      </c>
      <c r="H57" s="105">
        <v>983.3208476752143</v>
      </c>
      <c r="I57" s="17">
        <f t="shared" si="31"/>
        <v>0.03598127605000023</v>
      </c>
      <c r="J57" s="27">
        <f t="shared" si="32"/>
        <v>3595.7323024438715</v>
      </c>
      <c r="K57" s="17">
        <f t="shared" si="33"/>
        <v>0.03532914687651423</v>
      </c>
      <c r="L57" s="16">
        <f t="shared" si="14"/>
        <v>0.03532914687651423</v>
      </c>
      <c r="M57" s="40">
        <f>(M55*8+M65*2)/10</f>
        <v>0.003647232436260136</v>
      </c>
      <c r="N57" s="41">
        <f>(N55*8+N65*2)/10</f>
        <v>-0.5219050597184942</v>
      </c>
      <c r="O57" s="41">
        <f>(O55*8+O65*2)/10</f>
        <v>0.2586297621836267</v>
      </c>
      <c r="P57" s="70">
        <f t="shared" si="49"/>
        <v>0.005746477184596119</v>
      </c>
      <c r="Q57" s="70">
        <f t="shared" si="49"/>
        <v>0.008484647134755413</v>
      </c>
      <c r="R57" s="70">
        <f t="shared" si="50"/>
        <v>0.0180186191484254</v>
      </c>
      <c r="S57" s="70">
        <f t="shared" si="50"/>
        <v>0.013813794011269642</v>
      </c>
      <c r="T57" s="70">
        <f t="shared" si="50"/>
        <v>0.0034194283718699038</v>
      </c>
      <c r="U57" s="71">
        <f t="shared" si="39"/>
        <v>4.610449192647956</v>
      </c>
      <c r="V57" s="72">
        <f t="shared" si="34"/>
        <v>0.0010775942005012418</v>
      </c>
      <c r="W57" s="73">
        <f t="shared" si="40"/>
        <v>0.0376561956892405</v>
      </c>
      <c r="X57" s="71">
        <f t="shared" si="41"/>
        <v>3.035244244072838</v>
      </c>
      <c r="Y57" s="72">
        <f t="shared" si="35"/>
        <v>-0.00919323682011286</v>
      </c>
      <c r="Z57" s="73">
        <f t="shared" si="42"/>
        <v>0.02726183004984062</v>
      </c>
      <c r="AA57" s="71">
        <f t="shared" si="43"/>
        <v>5.203625023415806</v>
      </c>
      <c r="AB57" s="72">
        <f t="shared" si="36"/>
        <v>0.004070367426680432</v>
      </c>
      <c r="AC57" s="73">
        <f t="shared" si="44"/>
        <v>0.041075624061110316</v>
      </c>
      <c r="AD57" s="46">
        <f t="shared" si="45"/>
        <v>2.5692495374669364</v>
      </c>
      <c r="AE57" s="95">
        <f t="shared" si="37"/>
        <v>-0.01325999595833438</v>
      </c>
      <c r="AF57" s="96">
        <f t="shared" si="46"/>
        <v>0.02305700491268503</v>
      </c>
      <c r="AG57" s="97">
        <f t="shared" si="47"/>
        <v>5.250214329919288</v>
      </c>
      <c r="AH57" s="95">
        <f t="shared" si="38"/>
        <v>0.004291114520037498</v>
      </c>
      <c r="AI57" s="17">
        <f t="shared" si="48"/>
        <v>0.04039436563939991</v>
      </c>
      <c r="AJ57" s="148"/>
      <c r="AK57" s="116"/>
      <c r="AL57" s="117"/>
      <c r="AM57" s="117"/>
      <c r="AN57" s="159"/>
      <c r="AO57" s="159"/>
      <c r="AP57" s="2">
        <v>42</v>
      </c>
      <c r="AQ57" s="26"/>
    </row>
    <row r="58" spans="3:43" ht="12.75">
      <c r="C58" s="120">
        <f t="shared" si="27"/>
        <v>43</v>
      </c>
      <c r="D58" s="4">
        <f t="shared" si="28"/>
        <v>43.00068446269678</v>
      </c>
      <c r="E58" s="5">
        <f t="shared" si="29"/>
        <v>56039</v>
      </c>
      <c r="F58" s="5">
        <f t="shared" si="30"/>
        <v>55975</v>
      </c>
      <c r="G58" s="103">
        <v>0.1933410784601204</v>
      </c>
      <c r="H58" s="105">
        <v>1018.0607342846916</v>
      </c>
      <c r="I58" s="17">
        <f t="shared" si="31"/>
        <v>0.03596610559000024</v>
      </c>
      <c r="J58" s="27">
        <f t="shared" si="32"/>
        <v>3674.397790413285</v>
      </c>
      <c r="K58" s="17">
        <f t="shared" si="33"/>
        <v>0.03532914683097599</v>
      </c>
      <c r="L58" s="16">
        <f t="shared" si="14"/>
        <v>0.03532914683097599</v>
      </c>
      <c r="M58" s="40">
        <f>(M55*7+M65*3)/10</f>
        <v>0.0036140759855614844</v>
      </c>
      <c r="N58" s="41">
        <f>(N55*7+N65*3)/10</f>
        <v>-0.5280810456166826</v>
      </c>
      <c r="O58" s="41">
        <f>(O55*7+O65*3)/10</f>
        <v>0.2555864138869399</v>
      </c>
      <c r="P58" s="70">
        <f t="shared" si="49"/>
        <v>0.005775037956596099</v>
      </c>
      <c r="Q58" s="70">
        <f t="shared" si="49"/>
        <v>0.008516792844018567</v>
      </c>
      <c r="R58" s="70">
        <f t="shared" si="50"/>
        <v>0.018052404290822766</v>
      </c>
      <c r="S58" s="70">
        <f t="shared" si="50"/>
        <v>0.013845939674994557</v>
      </c>
      <c r="T58" s="70">
        <f t="shared" si="50"/>
        <v>0.003403592084800739</v>
      </c>
      <c r="U58" s="71">
        <f t="shared" si="39"/>
        <v>4.784265859836798</v>
      </c>
      <c r="V58" s="72">
        <f t="shared" si="34"/>
        <v>0.001107683930331227</v>
      </c>
      <c r="W58" s="73">
        <f t="shared" si="40"/>
        <v>0.037700592702771374</v>
      </c>
      <c r="X58" s="71">
        <f t="shared" si="41"/>
        <v>3.1179796756543157</v>
      </c>
      <c r="Y58" s="72">
        <f t="shared" si="35"/>
        <v>-0.009167133784404147</v>
      </c>
      <c r="Z58" s="73">
        <f t="shared" si="42"/>
        <v>0.027258245112577573</v>
      </c>
      <c r="AA58" s="71">
        <f t="shared" si="43"/>
        <v>5.417515787943524</v>
      </c>
      <c r="AB58" s="72">
        <f t="shared" si="36"/>
        <v>0.004110003501863302</v>
      </c>
      <c r="AC58" s="73">
        <f t="shared" si="44"/>
        <v>0.04110418478757216</v>
      </c>
      <c r="AD58" s="46">
        <f t="shared" si="45"/>
        <v>2.6284753138459993</v>
      </c>
      <c r="AE58" s="95">
        <f t="shared" si="37"/>
        <v>-0.013237140655167012</v>
      </c>
      <c r="AF58" s="96">
        <f t="shared" si="46"/>
        <v>0.023051780496749386</v>
      </c>
      <c r="AG58" s="97">
        <f t="shared" si="47"/>
        <v>5.4625453227729</v>
      </c>
      <c r="AH58" s="95">
        <f t="shared" si="38"/>
        <v>0.0043102371535472805</v>
      </c>
      <c r="AI58" s="17">
        <f t="shared" si="48"/>
        <v>0.04044234759019383</v>
      </c>
      <c r="AJ58" s="148"/>
      <c r="AK58" s="116"/>
      <c r="AL58" s="117"/>
      <c r="AM58" s="117"/>
      <c r="AN58" s="159"/>
      <c r="AO58" s="159"/>
      <c r="AP58" s="2">
        <v>43</v>
      </c>
      <c r="AQ58" s="26"/>
    </row>
    <row r="59" spans="3:43" ht="12.75">
      <c r="C59" s="120">
        <f t="shared" si="27"/>
        <v>44</v>
      </c>
      <c r="D59" s="4">
        <f t="shared" si="28"/>
        <v>44</v>
      </c>
      <c r="E59" s="5">
        <f t="shared" si="29"/>
        <v>56404</v>
      </c>
      <c r="F59" s="5">
        <f t="shared" si="30"/>
        <v>56340</v>
      </c>
      <c r="G59" s="103">
        <v>0.18634149681468504</v>
      </c>
      <c r="H59" s="105">
        <v>1054.0279517357687</v>
      </c>
      <c r="I59" s="17">
        <f t="shared" si="31"/>
        <v>0.03595162491000026</v>
      </c>
      <c r="J59" s="27">
        <f t="shared" si="32"/>
        <v>3751.987073371168</v>
      </c>
      <c r="K59" s="17">
        <f t="shared" si="33"/>
        <v>0.03532914711257207</v>
      </c>
      <c r="L59" s="16">
        <f t="shared" si="14"/>
        <v>0.03532914711257207</v>
      </c>
      <c r="M59" s="40">
        <f>(M55*6+M65*4)/10</f>
        <v>0.003580919534862833</v>
      </c>
      <c r="N59" s="41">
        <f>(N55*6+N65*4)/10</f>
        <v>-0.5342570315148709</v>
      </c>
      <c r="O59" s="41">
        <f>(O55*6+O65*4)/10</f>
        <v>0.2525430655902531</v>
      </c>
      <c r="P59" s="70">
        <f t="shared" si="49"/>
        <v>0.005797761427170652</v>
      </c>
      <c r="Q59" s="70">
        <f t="shared" si="49"/>
        <v>0.008544924312787187</v>
      </c>
      <c r="R59" s="70">
        <f t="shared" si="50"/>
        <v>0.018081699253192803</v>
      </c>
      <c r="S59" s="70">
        <f t="shared" si="50"/>
        <v>0.013874071425359256</v>
      </c>
      <c r="T59" s="70">
        <f t="shared" si="50"/>
        <v>0.0033849633181476046</v>
      </c>
      <c r="U59" s="71">
        <f t="shared" si="39"/>
        <v>4.964833359844307</v>
      </c>
      <c r="V59" s="72">
        <f t="shared" si="34"/>
        <v>0.0011373451886467212</v>
      </c>
      <c r="W59" s="73">
        <f t="shared" si="40"/>
        <v>0.03774194522159524</v>
      </c>
      <c r="X59" s="71">
        <f t="shared" si="41"/>
        <v>3.2029534678808806</v>
      </c>
      <c r="Y59" s="72">
        <f t="shared" si="35"/>
        <v>-0.009142340211031552</v>
      </c>
      <c r="Z59" s="73">
        <f t="shared" si="42"/>
        <v>0.02725283711438342</v>
      </c>
      <c r="AA59" s="71">
        <f t="shared" si="43"/>
        <v>5.640321464266889</v>
      </c>
      <c r="AB59" s="72">
        <f t="shared" si="36"/>
        <v>0.00414835420550852</v>
      </c>
      <c r="AC59" s="73">
        <f t="shared" si="44"/>
        <v>0.04112690853974277</v>
      </c>
      <c r="AD59" s="46">
        <f t="shared" si="45"/>
        <v>2.689049077558111</v>
      </c>
      <c r="AE59" s="95">
        <f t="shared" si="37"/>
        <v>-0.013215473689286661</v>
      </c>
      <c r="AF59" s="96">
        <f t="shared" si="46"/>
        <v>0.023045209286550072</v>
      </c>
      <c r="AG59" s="97">
        <f t="shared" si="47"/>
        <v>5.683718910887196</v>
      </c>
      <c r="AH59" s="95">
        <f t="shared" si="38"/>
        <v>0.0043295529267932675</v>
      </c>
      <c r="AI59" s="17">
        <f t="shared" si="48"/>
        <v>0.040489108107211624</v>
      </c>
      <c r="AJ59" s="148"/>
      <c r="AK59" s="116"/>
      <c r="AL59" s="117"/>
      <c r="AM59" s="117"/>
      <c r="AN59" s="159"/>
      <c r="AO59" s="159"/>
      <c r="AP59" s="2">
        <v>44</v>
      </c>
      <c r="AQ59" s="26"/>
    </row>
    <row r="60" spans="3:43" ht="12.75">
      <c r="C60" s="120">
        <f t="shared" si="27"/>
        <v>45</v>
      </c>
      <c r="D60" s="4">
        <f t="shared" si="28"/>
        <v>44.99931553730322</v>
      </c>
      <c r="E60" s="5">
        <f t="shared" si="29"/>
        <v>56769</v>
      </c>
      <c r="F60" s="5">
        <f t="shared" si="30"/>
        <v>56705</v>
      </c>
      <c r="G60" s="103">
        <v>0.17955691781043034</v>
      </c>
      <c r="H60" s="105">
        <v>1091.2657377706732</v>
      </c>
      <c r="I60" s="17">
        <f t="shared" si="31"/>
        <v>0.03593778542000026</v>
      </c>
      <c r="J60" s="27">
        <f t="shared" si="32"/>
        <v>3828.4141625725547</v>
      </c>
      <c r="K60" s="17">
        <f t="shared" si="33"/>
        <v>0.0353290308606915</v>
      </c>
      <c r="L60" s="16">
        <f t="shared" si="14"/>
        <v>0.0353290308606915</v>
      </c>
      <c r="M60" s="40">
        <f>(M55*5+M65*5)/10</f>
        <v>0.0035477630841641824</v>
      </c>
      <c r="N60" s="41">
        <f>(N55*5+N65*5)/10</f>
        <v>-0.5404330174130593</v>
      </c>
      <c r="O60" s="41">
        <f>(O55*5+O65*5)/10</f>
        <v>0.24949971729356632</v>
      </c>
      <c r="P60" s="70">
        <f t="shared" si="49"/>
        <v>0.005814785019076241</v>
      </c>
      <c r="Q60" s="70">
        <f t="shared" si="49"/>
        <v>0.008569149927987539</v>
      </c>
      <c r="R60" s="70">
        <f t="shared" si="50"/>
        <v>0.018106499274365043</v>
      </c>
      <c r="S60" s="70">
        <f t="shared" si="50"/>
        <v>0.013898180788679042</v>
      </c>
      <c r="T60" s="70">
        <f t="shared" si="50"/>
        <v>0.003363642058249272</v>
      </c>
      <c r="U60" s="71">
        <f t="shared" si="39"/>
        <v>5.152405627174098</v>
      </c>
      <c r="V60" s="72">
        <f t="shared" si="34"/>
        <v>0.001166539758693963</v>
      </c>
      <c r="W60" s="73">
        <f t="shared" si="40"/>
        <v>0.03778017382151844</v>
      </c>
      <c r="X60" s="71">
        <f t="shared" si="41"/>
        <v>3.2902199692805003</v>
      </c>
      <c r="Y60" s="72">
        <f t="shared" si="35"/>
        <v>-0.00911880605963944</v>
      </c>
      <c r="Z60" s="73">
        <f t="shared" si="42"/>
        <v>0.027245635091088793</v>
      </c>
      <c r="AA60" s="71">
        <f t="shared" si="43"/>
        <v>5.872385812095388</v>
      </c>
      <c r="AB60" s="72">
        <f t="shared" si="36"/>
        <v>0.004185378694380182</v>
      </c>
      <c r="AC60" s="73">
        <f t="shared" si="44"/>
        <v>0.041143815879767676</v>
      </c>
      <c r="AD60" s="46">
        <f t="shared" si="45"/>
        <v>2.750997552525283</v>
      </c>
      <c r="AE60" s="95">
        <f t="shared" si="37"/>
        <v>-0.013194942598478532</v>
      </c>
      <c r="AF60" s="96">
        <f t="shared" si="46"/>
        <v>0.023037316605402758</v>
      </c>
      <c r="AG60" s="97">
        <f t="shared" si="47"/>
        <v>5.914105835213429</v>
      </c>
      <c r="AH60" s="95">
        <f t="shared" si="38"/>
        <v>0.004349021988593993</v>
      </c>
      <c r="AI60" s="17">
        <f t="shared" si="48"/>
        <v>0.04053453873042989</v>
      </c>
      <c r="AJ60" s="148"/>
      <c r="AK60" s="116"/>
      <c r="AL60" s="117"/>
      <c r="AM60" s="117"/>
      <c r="AN60" s="159"/>
      <c r="AO60" s="159"/>
      <c r="AP60" s="2">
        <v>45</v>
      </c>
      <c r="AQ60" s="26"/>
    </row>
    <row r="61" spans="3:43" ht="12.75">
      <c r="C61" s="120">
        <f t="shared" si="27"/>
        <v>46</v>
      </c>
      <c r="D61" s="4">
        <f t="shared" si="28"/>
        <v>46.001368925393564</v>
      </c>
      <c r="E61" s="5">
        <f t="shared" si="29"/>
        <v>57135</v>
      </c>
      <c r="F61" s="5">
        <f t="shared" si="30"/>
        <v>57071</v>
      </c>
      <c r="G61" s="103">
        <v>0.17296336616162417</v>
      </c>
      <c r="H61" s="105">
        <v>1130.5285954935655</v>
      </c>
      <c r="I61" s="17">
        <f t="shared" si="31"/>
        <v>0.03593868551000012</v>
      </c>
      <c r="J61" s="27">
        <f t="shared" si="32"/>
        <v>3905.6007764482847</v>
      </c>
      <c r="K61" s="17">
        <f t="shared" si="33"/>
        <v>0.03597919036943442</v>
      </c>
      <c r="L61" s="16">
        <f t="shared" si="14"/>
        <v>0.03597919036943442</v>
      </c>
      <c r="M61" s="40">
        <f>(M55*4+M65*6)/10</f>
        <v>0.003514606633465531</v>
      </c>
      <c r="N61" s="41">
        <f>(N55*4+N65*6)/10</f>
        <v>-0.5466090033112476</v>
      </c>
      <c r="O61" s="41">
        <f>(O55*4+O65*6)/10</f>
        <v>0.2464563689968795</v>
      </c>
      <c r="P61" s="70">
        <f t="shared" si="49"/>
        <v>0.005799705180606712</v>
      </c>
      <c r="Q61" s="70">
        <f t="shared" si="49"/>
        <v>0.008476522487809241</v>
      </c>
      <c r="R61" s="70">
        <f t="shared" si="50"/>
        <v>0.018698192373996184</v>
      </c>
      <c r="S61" s="70">
        <f t="shared" si="50"/>
        <v>0.014455712857243664</v>
      </c>
      <c r="T61" s="70">
        <f t="shared" si="50"/>
        <v>0.0034757584356852637</v>
      </c>
      <c r="U61" s="71">
        <f t="shared" si="39"/>
        <v>5.3497589263805265</v>
      </c>
      <c r="V61" s="72">
        <f t="shared" si="34"/>
        <v>0.001191686074074827</v>
      </c>
      <c r="W61" s="73">
        <f t="shared" si="40"/>
        <v>0.038303137114355845</v>
      </c>
      <c r="X61" s="71">
        <f t="shared" si="41"/>
        <v>3.3801192506006412</v>
      </c>
      <c r="Y61" s="72">
        <f t="shared" si="35"/>
        <v>-0.009108747839374765</v>
      </c>
      <c r="Z61" s="73">
        <f t="shared" si="42"/>
        <v>0.02732318269279732</v>
      </c>
      <c r="AA61" s="71">
        <f t="shared" si="43"/>
        <v>6.117727605568464</v>
      </c>
      <c r="AB61" s="72">
        <f t="shared" si="36"/>
        <v>0.004220444769360565</v>
      </c>
      <c r="AC61" s="73">
        <f t="shared" si="44"/>
        <v>0.041778895550041106</v>
      </c>
      <c r="AD61" s="46">
        <f t="shared" si="45"/>
        <v>2.8144925104731455</v>
      </c>
      <c r="AE61" s="95">
        <f t="shared" si="37"/>
        <v>-0.01318849908469688</v>
      </c>
      <c r="AF61" s="96">
        <f t="shared" si="46"/>
        <v>0.023080703176044937</v>
      </c>
      <c r="AG61" s="97">
        <f t="shared" si="47"/>
        <v>6.156465622784748</v>
      </c>
      <c r="AH61" s="95">
        <f t="shared" si="38"/>
        <v>0.004363185403137848</v>
      </c>
      <c r="AI61" s="17">
        <f t="shared" si="48"/>
        <v>0.04097995442155833</v>
      </c>
      <c r="AJ61" s="148"/>
      <c r="AK61" s="116"/>
      <c r="AL61" s="117"/>
      <c r="AM61" s="117"/>
      <c r="AN61" s="159"/>
      <c r="AO61" s="159"/>
      <c r="AP61" s="2">
        <v>46</v>
      </c>
      <c r="AQ61" s="26"/>
    </row>
    <row r="62" spans="3:43" ht="12.75">
      <c r="C62" s="120">
        <f t="shared" si="27"/>
        <v>47</v>
      </c>
      <c r="D62" s="4">
        <f t="shared" si="28"/>
        <v>47.00068446269678</v>
      </c>
      <c r="E62" s="5">
        <f t="shared" si="29"/>
        <v>57500</v>
      </c>
      <c r="F62" s="5">
        <f t="shared" si="30"/>
        <v>57436</v>
      </c>
      <c r="G62" s="103">
        <v>0.16659398916793855</v>
      </c>
      <c r="H62" s="105">
        <v>1171.2040991004292</v>
      </c>
      <c r="I62" s="17">
        <f t="shared" si="31"/>
        <v>0.03593954730000015</v>
      </c>
      <c r="J62" s="27">
        <f t="shared" si="32"/>
        <v>3982.031758631736</v>
      </c>
      <c r="K62" s="17">
        <f t="shared" si="33"/>
        <v>0.03597919041499842</v>
      </c>
      <c r="L62" s="16">
        <f t="shared" si="14"/>
        <v>0.03597919041499842</v>
      </c>
      <c r="M62" s="40">
        <f>(M55*3+M65*7)/10</f>
        <v>0.0034814501827668794</v>
      </c>
      <c r="N62" s="41">
        <f>(N55*3+N65*7)/10</f>
        <v>-0.5527849892094359</v>
      </c>
      <c r="O62" s="41">
        <f>(O55*3+O65*7)/10</f>
        <v>0.24341302070019272</v>
      </c>
      <c r="P62" s="70">
        <f t="shared" si="49"/>
        <v>0.005805465294553489</v>
      </c>
      <c r="Q62" s="70">
        <f t="shared" si="49"/>
        <v>0.008493249344878709</v>
      </c>
      <c r="R62" s="70">
        <f t="shared" si="50"/>
        <v>0.018714425353257947</v>
      </c>
      <c r="S62" s="70">
        <f t="shared" si="50"/>
        <v>0.014472439759877128</v>
      </c>
      <c r="T62" s="70">
        <f t="shared" si="50"/>
        <v>0.003450627368683114</v>
      </c>
      <c r="U62" s="71">
        <f t="shared" si="39"/>
        <v>5.554836736681213</v>
      </c>
      <c r="V62" s="72">
        <f t="shared" si="34"/>
        <v>0.0012164194687513952</v>
      </c>
      <c r="W62" s="73">
        <f t="shared" si="40"/>
        <v>0.03833402834086863</v>
      </c>
      <c r="X62" s="71">
        <f t="shared" si="41"/>
        <v>3.472437797508699</v>
      </c>
      <c r="Y62" s="72">
        <f t="shared" si="35"/>
        <v>-0.00909935074712731</v>
      </c>
      <c r="Z62" s="73">
        <f t="shared" si="42"/>
        <v>0.027312215949674812</v>
      </c>
      <c r="AA62" s="71">
        <f t="shared" si="43"/>
        <v>6.373354747291963</v>
      </c>
      <c r="AB62" s="72">
        <f t="shared" si="36"/>
        <v>0.0042541422043964605</v>
      </c>
      <c r="AC62" s="73">
        <f t="shared" si="44"/>
        <v>0.04178465570955181</v>
      </c>
      <c r="AD62" s="46">
        <f t="shared" si="45"/>
        <v>2.8794235010258245</v>
      </c>
      <c r="AE62" s="95">
        <f t="shared" si="37"/>
        <v>-0.01318255247189537</v>
      </c>
      <c r="AF62" s="96">
        <f t="shared" si="46"/>
        <v>0.02307023035629374</v>
      </c>
      <c r="AG62" s="97">
        <f t="shared" si="47"/>
        <v>6.409015000555458</v>
      </c>
      <c r="AH62" s="95">
        <f t="shared" si="38"/>
        <v>0.004377636331685197</v>
      </c>
      <c r="AI62" s="17">
        <f t="shared" si="48"/>
        <v>0.041021812391193846</v>
      </c>
      <c r="AJ62" s="148"/>
      <c r="AK62" s="118"/>
      <c r="AL62" s="119"/>
      <c r="AM62" s="119"/>
      <c r="AN62" s="160"/>
      <c r="AO62" s="160"/>
      <c r="AP62" s="2">
        <v>47</v>
      </c>
      <c r="AQ62" s="26"/>
    </row>
    <row r="63" spans="3:43" ht="12.75">
      <c r="C63" s="120">
        <f t="shared" si="27"/>
        <v>48</v>
      </c>
      <c r="D63" s="4">
        <f t="shared" si="28"/>
        <v>48</v>
      </c>
      <c r="E63" s="5">
        <f t="shared" si="29"/>
        <v>57865</v>
      </c>
      <c r="F63" s="5">
        <f t="shared" si="30"/>
        <v>57801</v>
      </c>
      <c r="G63" s="103">
        <v>0.16042845056568045</v>
      </c>
      <c r="H63" s="105">
        <v>1213.343074804053</v>
      </c>
      <c r="I63" s="17">
        <f t="shared" si="31"/>
        <v>0.03594037319000032</v>
      </c>
      <c r="J63" s="27">
        <f t="shared" si="32"/>
        <v>4057.3439149007445</v>
      </c>
      <c r="K63" s="17">
        <f t="shared" si="33"/>
        <v>0.035979190762728486</v>
      </c>
      <c r="L63" s="16">
        <f t="shared" si="14"/>
        <v>0.035979190762728486</v>
      </c>
      <c r="M63" s="40">
        <f>(M55*2+M65*8)/10</f>
        <v>0.0034482937320682284</v>
      </c>
      <c r="N63" s="41">
        <f>(N55*2+N65*8)/10</f>
        <v>-0.5589609751076242</v>
      </c>
      <c r="O63" s="41">
        <f>(O55*2+O65*8)/10</f>
        <v>0.24036967240350596</v>
      </c>
      <c r="P63" s="70">
        <f t="shared" si="49"/>
        <v>0.00580590268079539</v>
      </c>
      <c r="Q63" s="70">
        <f t="shared" si="49"/>
        <v>0.008506227832994599</v>
      </c>
      <c r="R63" s="70">
        <f t="shared" si="50"/>
        <v>0.018726490088923936</v>
      </c>
      <c r="S63" s="70">
        <f t="shared" si="50"/>
        <v>0.014485418595723085</v>
      </c>
      <c r="T63" s="70">
        <f t="shared" si="50"/>
        <v>0.0034231771942641</v>
      </c>
      <c r="U63" s="71">
        <f t="shared" si="39"/>
        <v>5.767930918352088</v>
      </c>
      <c r="V63" s="72">
        <f t="shared" si="34"/>
        <v>0.0012407032351318126</v>
      </c>
      <c r="W63" s="73">
        <f t="shared" si="40"/>
        <v>0.038361916249259664</v>
      </c>
      <c r="X63" s="71">
        <f t="shared" si="41"/>
        <v>3.5672342203098997</v>
      </c>
      <c r="Y63" s="72">
        <f t="shared" si="35"/>
        <v>-0.009090606269098966</v>
      </c>
      <c r="Z63" s="73">
        <f t="shared" si="42"/>
        <v>0.027299674847800715</v>
      </c>
      <c r="AA63" s="71">
        <f t="shared" si="43"/>
        <v>6.639665970956284</v>
      </c>
      <c r="AB63" s="72">
        <f t="shared" si="36"/>
        <v>0.004286445755001811</v>
      </c>
      <c r="AC63" s="73">
        <f t="shared" si="44"/>
        <v>0.04178509344352377</v>
      </c>
      <c r="AD63" s="46">
        <f t="shared" si="45"/>
        <v>2.945818985425892</v>
      </c>
      <c r="AE63" s="95">
        <f t="shared" si="37"/>
        <v>-0.013177095757944457</v>
      </c>
      <c r="AF63" s="96">
        <f t="shared" si="46"/>
        <v>0.02305860335459986</v>
      </c>
      <c r="AG63" s="97">
        <f t="shared" si="47"/>
        <v>6.672183521653838</v>
      </c>
      <c r="AH63" s="95">
        <f t="shared" si="38"/>
        <v>0.004392327038611921</v>
      </c>
      <c r="AI63" s="17">
        <f t="shared" si="48"/>
        <v>0.041062241401458976</v>
      </c>
      <c r="AJ63" s="148"/>
      <c r="AK63" s="118"/>
      <c r="AL63" s="119"/>
      <c r="AM63" s="119"/>
      <c r="AN63" s="160"/>
      <c r="AO63" s="160"/>
      <c r="AP63" s="2">
        <v>48</v>
      </c>
      <c r="AQ63" s="26"/>
    </row>
    <row r="64" spans="3:43" ht="12.75">
      <c r="C64" s="120">
        <f t="shared" si="27"/>
        <v>49</v>
      </c>
      <c r="D64" s="4">
        <f t="shared" si="28"/>
        <v>48.99931553730322</v>
      </c>
      <c r="E64" s="5">
        <f t="shared" si="29"/>
        <v>58230</v>
      </c>
      <c r="F64" s="5">
        <f t="shared" si="30"/>
        <v>58166</v>
      </c>
      <c r="G64" s="103">
        <v>0.15446471314398433</v>
      </c>
      <c r="H64" s="105">
        <v>1256.9981761095642</v>
      </c>
      <c r="I64" s="17">
        <f t="shared" si="31"/>
        <v>0.03594116536000014</v>
      </c>
      <c r="J64" s="27">
        <f t="shared" si="32"/>
        <v>4131.58063384105</v>
      </c>
      <c r="K64" s="17">
        <f t="shared" si="33"/>
        <v>0.03597919023237606</v>
      </c>
      <c r="L64" s="16">
        <f t="shared" si="14"/>
        <v>0.03597919023237606</v>
      </c>
      <c r="M64" s="40">
        <f>(M55*1+M65*9)/10</f>
        <v>0.0034151372813695778</v>
      </c>
      <c r="N64" s="41">
        <f>(N55*1+N65*9)/10</f>
        <v>-0.5651369610058126</v>
      </c>
      <c r="O64" s="41">
        <f>(O55*1+O65*9)/10</f>
        <v>0.23732632410681917</v>
      </c>
      <c r="P64" s="70">
        <f t="shared" si="49"/>
        <v>0.005801153328303477</v>
      </c>
      <c r="Q64" s="70">
        <f t="shared" si="49"/>
        <v>0.008515534505042761</v>
      </c>
      <c r="R64" s="70">
        <f t="shared" si="50"/>
        <v>0.01873447383012323</v>
      </c>
      <c r="S64" s="70">
        <f t="shared" si="50"/>
        <v>0.01449472473741882</v>
      </c>
      <c r="T64" s="70">
        <f t="shared" si="50"/>
        <v>0.003393517522251239</v>
      </c>
      <c r="U64" s="71">
        <f t="shared" si="39"/>
        <v>5.989343479116543</v>
      </c>
      <c r="V64" s="72">
        <f t="shared" si="34"/>
        <v>0.0012645041995256179</v>
      </c>
      <c r="W64" s="73">
        <f t="shared" si="40"/>
        <v>0.03838682603842836</v>
      </c>
      <c r="X64" s="71">
        <f t="shared" si="41"/>
        <v>3.664568413498567</v>
      </c>
      <c r="Y64" s="72">
        <f t="shared" si="35"/>
        <v>-0.009082505351024617</v>
      </c>
      <c r="Z64" s="73">
        <f t="shared" si="42"/>
        <v>0.027285618823260638</v>
      </c>
      <c r="AA64" s="71">
        <f t="shared" si="43"/>
        <v>6.917073496350991</v>
      </c>
      <c r="AB64" s="72">
        <f t="shared" si="36"/>
        <v>0.004317335000405986</v>
      </c>
      <c r="AC64" s="73">
        <f t="shared" si="44"/>
        <v>0.04178034356067961</v>
      </c>
      <c r="AD64" s="46">
        <f t="shared" si="45"/>
        <v>3.0137079460138163</v>
      </c>
      <c r="AE64" s="95">
        <f t="shared" si="37"/>
        <v>-0.013172121518521651</v>
      </c>
      <c r="AF64" s="96">
        <f t="shared" si="46"/>
        <v>0.023045869730556223</v>
      </c>
      <c r="AG64" s="97">
        <f t="shared" si="47"/>
        <v>6.946418319154959</v>
      </c>
      <c r="AH64" s="95">
        <f t="shared" si="38"/>
        <v>0.004407213012734612</v>
      </c>
      <c r="AI64" s="17">
        <f t="shared" si="48"/>
        <v>0.04110120721516752</v>
      </c>
      <c r="AJ64" s="148"/>
      <c r="AK64" s="118"/>
      <c r="AL64" s="119"/>
      <c r="AM64" s="119"/>
      <c r="AN64" s="160"/>
      <c r="AO64" s="160"/>
      <c r="AP64" s="2">
        <v>49</v>
      </c>
      <c r="AQ64" s="26"/>
    </row>
    <row r="65" spans="3:43" ht="13.5" thickBot="1">
      <c r="C65" s="120">
        <f t="shared" si="27"/>
        <v>50</v>
      </c>
      <c r="D65" s="4">
        <f t="shared" si="28"/>
        <v>50.001368925393564</v>
      </c>
      <c r="E65" s="6">
        <f t="shared" si="29"/>
        <v>58596</v>
      </c>
      <c r="F65" s="6">
        <f t="shared" si="30"/>
        <v>58532</v>
      </c>
      <c r="G65" s="103">
        <v>0.14868522051477526</v>
      </c>
      <c r="H65" s="107">
        <v>1302.223794613692</v>
      </c>
      <c r="I65" s="16">
        <f t="shared" si="31"/>
        <v>0.035941923330000236</v>
      </c>
      <c r="J65" s="27">
        <f t="shared" si="32"/>
        <v>4204.364051203179</v>
      </c>
      <c r="K65" s="16">
        <f t="shared" si="33"/>
        <v>0.03597906453937916</v>
      </c>
      <c r="L65" s="16">
        <f t="shared" si="14"/>
        <v>0.03597906453937916</v>
      </c>
      <c r="M65" s="38">
        <v>0.0033819808306709263</v>
      </c>
      <c r="N65" s="39">
        <v>-0.5713129469040009</v>
      </c>
      <c r="O65" s="39">
        <v>0.23428297581013235</v>
      </c>
      <c r="P65" s="70">
        <f t="shared" si="49"/>
        <v>0.005791767036838245</v>
      </c>
      <c r="Q65" s="70">
        <f t="shared" si="49"/>
        <v>0.008521573711010495</v>
      </c>
      <c r="R65" s="70">
        <f t="shared" si="50"/>
        <v>0.018738689453143564</v>
      </c>
      <c r="S65" s="70">
        <f t="shared" si="50"/>
        <v>0.014500638250389653</v>
      </c>
      <c r="T65" s="70">
        <f t="shared" si="50"/>
        <v>0.003361921974651042</v>
      </c>
      <c r="U65" s="75">
        <f t="shared" si="39"/>
        <v>6.219387631378661</v>
      </c>
      <c r="V65" s="76">
        <f t="shared" si="34"/>
        <v>0.0012877973614719984</v>
      </c>
      <c r="W65" s="77">
        <f t="shared" si="40"/>
        <v>0.03840890960156629</v>
      </c>
      <c r="X65" s="75">
        <f t="shared" si="41"/>
        <v>3.7645019025903945</v>
      </c>
      <c r="Y65" s="76">
        <f t="shared" si="35"/>
        <v>-0.00907503427057299</v>
      </c>
      <c r="Z65" s="77">
        <f t="shared" si="42"/>
        <v>0.027270193325827696</v>
      </c>
      <c r="AA65" s="75">
        <f t="shared" si="43"/>
        <v>7.206005408367385</v>
      </c>
      <c r="AB65" s="76">
        <f t="shared" si="36"/>
        <v>0.004346802128779581</v>
      </c>
      <c r="AC65" s="77">
        <f t="shared" si="44"/>
        <v>0.041770831576217304</v>
      </c>
      <c r="AD65" s="47">
        <f t="shared" si="45"/>
        <v>3.083120095743843</v>
      </c>
      <c r="AE65" s="99">
        <f t="shared" si="37"/>
        <v>-0.013167618186038288</v>
      </c>
      <c r="AF65" s="100">
        <f t="shared" si="46"/>
        <v>0.023032142123073696</v>
      </c>
      <c r="AG65" s="101">
        <f t="shared" si="47"/>
        <v>7.232185051519268</v>
      </c>
      <c r="AH65" s="99">
        <f t="shared" si="38"/>
        <v>0.00442225591973977</v>
      </c>
      <c r="AI65" s="42">
        <f t="shared" si="48"/>
        <v>0.04113871627573862</v>
      </c>
      <c r="AJ65" s="148">
        <f>10000*ABS(AK65-V65)+10000*ABS(AM65-AB65)+10000*ABS(AL65-Y65)</f>
        <v>0.2411096316257133</v>
      </c>
      <c r="AK65" s="161">
        <f>VLOOKUP($AP65,$BO$9:$BW$16,3)</f>
        <v>0.0012888471277637814</v>
      </c>
      <c r="AL65" s="163">
        <f>VLOOKUP($AP65,$BO$9:$BW$16,9)</f>
        <v>-0.009096460336045054</v>
      </c>
      <c r="AM65" s="163">
        <f>VLOOKUP($AP65,$BO$9:$BW$16,6)</f>
        <v>0.004345166997380856</v>
      </c>
      <c r="AN65" s="157">
        <f>VLOOKUP($AP65,$BO$18:$BT$25,3)</f>
        <v>-0.013230939705286549</v>
      </c>
      <c r="AO65" s="157">
        <f>VLOOKUP($AP65,$BO$18:$BT$25,6)</f>
        <v>0.004085675570748459</v>
      </c>
      <c r="AP65" s="2">
        <v>50</v>
      </c>
      <c r="AQ65" s="26"/>
    </row>
    <row r="66" spans="13:43" ht="13.5" thickBot="1">
      <c r="M66" s="78"/>
      <c r="N66" s="79"/>
      <c r="O66" s="79"/>
      <c r="P66" s="79"/>
      <c r="Q66" s="79"/>
      <c r="R66" s="79"/>
      <c r="S66" s="79"/>
      <c r="T66" s="79"/>
      <c r="U66" s="79"/>
      <c r="V66" s="79"/>
      <c r="W66" s="79"/>
      <c r="X66" s="79"/>
      <c r="Y66" s="79"/>
      <c r="Z66" s="79"/>
      <c r="AA66" s="79"/>
      <c r="AB66" s="79"/>
      <c r="AC66" s="80"/>
      <c r="AJ66" s="150"/>
      <c r="AK66" s="2"/>
      <c r="AL66" s="2"/>
      <c r="AM66" s="2"/>
      <c r="AQ66" s="26"/>
    </row>
    <row r="67" spans="37:43" ht="12.75">
      <c r="AK67" s="2"/>
      <c r="AL67" s="2"/>
      <c r="AM67" s="2"/>
      <c r="AQ67" s="3"/>
    </row>
    <row r="68" spans="37:43" ht="12.75">
      <c r="AK68" s="2"/>
      <c r="AL68" s="2"/>
      <c r="AM68" s="2"/>
      <c r="AQ68" s="3"/>
    </row>
    <row r="69" spans="37:43" ht="12.75">
      <c r="AK69" s="2"/>
      <c r="AL69" s="2"/>
      <c r="AM69" s="2"/>
      <c r="AQ69" s="3"/>
    </row>
    <row r="70" spans="37:43" ht="12.75">
      <c r="AK70" s="2"/>
      <c r="AL70" s="2"/>
      <c r="AM70" s="2"/>
      <c r="AQ70" s="3"/>
    </row>
    <row r="71" spans="37:43" ht="12.75">
      <c r="AK71" s="2"/>
      <c r="AL71" s="2"/>
      <c r="AM71" s="2"/>
      <c r="AQ71" s="3"/>
    </row>
    <row r="72" spans="37:43" ht="12.75">
      <c r="AK72" s="2"/>
      <c r="AL72" s="2"/>
      <c r="AM72" s="2"/>
      <c r="AQ72" s="3"/>
    </row>
    <row r="73" spans="37:39" ht="12.75">
      <c r="AK73" s="2"/>
      <c r="AL73" s="2"/>
      <c r="AM73" s="2"/>
    </row>
    <row r="74" spans="37:39" ht="12.75">
      <c r="AK74" s="2"/>
      <c r="AL74" s="2"/>
      <c r="AM74" s="2"/>
    </row>
    <row r="89" ht="12.75">
      <c r="I89" s="37"/>
    </row>
  </sheetData>
  <sheetProtection/>
  <conditionalFormatting sqref="W16:W65 Z16:Z65 AC16:AC65 AF16:AF65 AI16:AI65">
    <cfRule type="cellIs" priority="1" dxfId="10" operator="lessThan" stopIfTrue="1">
      <formula>V$12</formula>
    </cfRule>
    <cfRule type="cellIs" priority="2" dxfId="10" operator="greaterThan" stopIfTrue="1">
      <formula>W$12</formula>
    </cfRule>
  </conditionalFormatting>
  <conditionalFormatting sqref="BQ9:BQ16 BT9:BT16 BW9:BW16 BQ18:BQ25 BT18:BT25">
    <cfRule type="cellIs" priority="3" dxfId="9" operator="lessThan" stopIfTrue="1">
      <formula>BR9-0.01%</formula>
    </cfRule>
    <cfRule type="cellIs" priority="4" dxfId="8" operator="greaterThan" stopIfTrue="1">
      <formula>BR9+0.01%</formula>
    </cfRule>
  </conditionalFormatting>
  <conditionalFormatting sqref="BV9:BV16">
    <cfRule type="cellIs" priority="5" dxfId="2" operator="lessThan" stopIfTrue="1">
      <formula>0</formula>
    </cfRule>
    <cfRule type="cellIs" priority="6" dxfId="2" operator="greaterThan" stopIfTrue="1">
      <formula>0.03</formula>
    </cfRule>
  </conditionalFormatting>
  <conditionalFormatting sqref="BS9:BS16 BS18:BS25">
    <cfRule type="cellIs" priority="7" dxfId="2" operator="lessThan" stopIfTrue="1">
      <formula>0</formula>
    </cfRule>
    <cfRule type="cellIs" priority="8" dxfId="2" operator="greaterThan" stopIfTrue="1">
      <formula>0.99</formula>
    </cfRule>
  </conditionalFormatting>
  <conditionalFormatting sqref="BP9:BP16 BP18:BP25">
    <cfRule type="cellIs" priority="9" dxfId="2" operator="lessThan" stopIfTrue="1">
      <formula>0</formula>
    </cfRule>
    <cfRule type="cellIs" priority="10" dxfId="2" operator="greaterThan" stopIfTrue="1">
      <formula>0.05</formula>
    </cfRule>
  </conditionalFormatting>
  <conditionalFormatting sqref="E15">
    <cfRule type="cellIs" priority="11" dxfId="0" operator="notEqual" stopIfTrue="1">
      <formula>$E$10</formula>
    </cfRule>
  </conditionalFormatting>
  <conditionalFormatting sqref="F15">
    <cfRule type="cellIs" priority="12" dxfId="0" operator="notEqual" stopIfTrue="1">
      <formula>$E$11</formula>
    </cfRule>
  </conditionalFormatting>
  <printOptions/>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emmap</cp:lastModifiedBy>
  <dcterms:created xsi:type="dcterms:W3CDTF">2005-09-05T15:05:33Z</dcterms:created>
  <dcterms:modified xsi:type="dcterms:W3CDTF">2010-06-22T11:35:45Z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-1441318138</vt:i4>
  </property>
  <property fmtid="{D5CDD505-2E9C-101B-9397-08002B2CF9AE}" pid="3" name="_NewReviewCycle">
    <vt:lpwstr/>
  </property>
  <property fmtid="{D5CDD505-2E9C-101B-9397-08002B2CF9AE}" pid="4" name="_EmailSubject">
    <vt:lpwstr>Risk and investment conference 2010, 13-15 June 2010, questionnaire Tuesday 15 June</vt:lpwstr>
  </property>
  <property fmtid="{D5CDD505-2E9C-101B-9397-08002B2CF9AE}" pid="5" name="_AuthorEmail">
    <vt:lpwstr>Mark.GREENWOOD@rbs.com</vt:lpwstr>
  </property>
  <property fmtid="{D5CDD505-2E9C-101B-9397-08002B2CF9AE}" pid="6" name="_AuthorEmailDisplayName">
    <vt:lpwstr>GREENWOOD, Mark, GBM</vt:lpwstr>
  </property>
  <property fmtid="{D5CDD505-2E9C-101B-9397-08002B2CF9AE}" pid="7" name="_PreviousAdHocReviewCycleID">
    <vt:i4>-1441318138</vt:i4>
  </property>
  <property fmtid="{D5CDD505-2E9C-101B-9397-08002B2CF9AE}" pid="8" name="_ReviewingToolsShownOnce">
    <vt:lpwstr/>
  </property>
</Properties>
</file>